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Usuário\Google Drive\LICITAÇÕES\CONCORRÊNCIA PÚBLICA\2019\CC 003-2019\"/>
    </mc:Choice>
  </mc:AlternateContent>
  <xr:revisionPtr revIDLastSave="0" documentId="8_{7843BE39-5847-49BA-8DAD-5CB9A48DBB19}" xr6:coauthVersionLast="44" xr6:coauthVersionMax="44" xr10:uidLastSave="{00000000-0000-0000-0000-000000000000}"/>
  <bookViews>
    <workbookView xWindow="-120" yWindow="-120" windowWidth="20730" windowHeight="11160" tabRatio="923" firstSheet="8" activeTab="21" xr2:uid="{00000000-000D-0000-FFFF-FFFF00000000}"/>
  </bookViews>
  <sheets>
    <sheet name="Ruas Ben" sheetId="12" r:id="rId1"/>
    <sheet name="M. Calc Dre" sheetId="11" r:id="rId2"/>
    <sheet name="Terrap." sheetId="7" r:id="rId3"/>
    <sheet name="Cub" sheetId="32" r:id="rId4"/>
    <sheet name="BASE E SUB" sheetId="33" r:id="rId5"/>
    <sheet name="Pavim." sheetId="8" r:id="rId6"/>
    <sheet name="Coord" sheetId="40" state="hidden" r:id="rId7"/>
    <sheet name="MAT. PETREO" sheetId="30" r:id="rId8"/>
    <sheet name="MAT BETUMINOSO" sheetId="31" r:id="rId9"/>
    <sheet name="MF e Sarj." sheetId="10" r:id="rId10"/>
    <sheet name="CALÇADA" sheetId="35" r:id="rId11"/>
    <sheet name="PISO TATIL" sheetId="37" r:id="rId12"/>
    <sheet name="Sinal." sheetId="14" r:id="rId13"/>
    <sheet name="Comp. TSD E CAPA" sheetId="20" state="hidden" r:id="rId14"/>
    <sheet name="Mem. Calc." sheetId="15" r:id="rId15"/>
    <sheet name="Orçam." sheetId="1" r:id="rId16"/>
    <sheet name="Resumo" sheetId="4" r:id="rId17"/>
    <sheet name="Crono Comp." sheetId="2" state="hidden" r:id="rId18"/>
    <sheet name="Crono Basico" sheetId="39" r:id="rId19"/>
    <sheet name="QCI" sheetId="16" r:id="rId20"/>
    <sheet name="BDI" sheetId="19" r:id="rId21"/>
    <sheet name="COMPOSIÇÕES" sheetId="34" r:id="rId22"/>
    <sheet name="ADM LOCAL" sheetId="41" state="hidden" r:id="rId23"/>
    <sheet name="COMP PV" sheetId="36" state="hidden" r:id="rId24"/>
    <sheet name="CRON 2" sheetId="28" state="hidden" r:id="rId25"/>
  </sheets>
  <definedNames>
    <definedName name="_xlnm.Print_Area" localSheetId="22">'ADM LOCAL'!$A$1:$H$25</definedName>
    <definedName name="_xlnm.Print_Area" localSheetId="20">BDI!$A$1:$G$39</definedName>
    <definedName name="_xlnm.Print_Area" localSheetId="23">'COMP PV'!$A$1:$G$31</definedName>
    <definedName name="_xlnm.Print_Area" localSheetId="21">COMPOSIÇÕES!$A$1:$F$107</definedName>
    <definedName name="_xlnm.Print_Area" localSheetId="24">'CRON 2'!$A$1:$P$50</definedName>
    <definedName name="_xlnm.Print_Area" localSheetId="18">'Crono Basico'!$A$1:$BB$38</definedName>
    <definedName name="_xlnm.Print_Area" localSheetId="17">'Crono Comp.'!$A$1:$R$90</definedName>
    <definedName name="_xlnm.Print_Area" localSheetId="3">Cub!$A$1:$I$44</definedName>
    <definedName name="_xlnm.Print_Area" localSheetId="1">'M. Calc Dre'!$A$1:$L$101</definedName>
    <definedName name="_xlnm.Print_Area" localSheetId="7">'MAT. PETREO'!$A$1:$M$34</definedName>
    <definedName name="_xlnm.Print_Area" localSheetId="14">'Mem. Calc.'!$A$1:$E$69</definedName>
    <definedName name="_xlnm.Print_Area" localSheetId="15">Orçam.!$A$1:$K$82</definedName>
    <definedName name="_xlnm.Print_Area" localSheetId="11">'PISO TATIL'!$A$1:$L$31</definedName>
    <definedName name="_xlnm.Print_Area" localSheetId="19">QCI!$A$1:$F$30</definedName>
    <definedName name="_xlnm.Print_Area" localSheetId="16">Resumo!$A$1:$F$35</definedName>
    <definedName name="_xlnm.Print_Area" localSheetId="0">'Ruas Ben'!$A$1:$Q$28</definedName>
    <definedName name="_xlnm.Print_Area" localSheetId="12">Sinal.!$A$1:$J$47</definedName>
    <definedName name="_xlnm.Print_Area" localSheetId="2">Terrap.!$A$1:$J$29</definedName>
    <definedName name="_xlnm.Print_Titles" localSheetId="21">COMPOSIÇÕES!$1:$7</definedName>
    <definedName name="_xlnm.Print_Titles" localSheetId="24">'CRON 2'!$A:$D,'CRON 2'!$1:$8</definedName>
    <definedName name="_xlnm.Print_Titles" localSheetId="18">'Crono Basico'!$A:$D,'Crono Basico'!$1:$10</definedName>
    <definedName name="_xlnm.Print_Titles" localSheetId="17">'Crono Comp.'!$1:$10</definedName>
    <definedName name="_xlnm.Print_Titles" localSheetId="3">Cub!$7:$9</definedName>
    <definedName name="_xlnm.Print_Titles" localSheetId="1">'M. Calc Dre'!$1:$8</definedName>
    <definedName name="_xlnm.Print_Titles" localSheetId="14">'Mem. Calc.'!$1:$8</definedName>
    <definedName name="_xlnm.Print_Titles" localSheetId="15">Orçam.!$1:$8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5" i="19" l="1"/>
  <c r="I19" i="12" l="1"/>
  <c r="C19" i="12" s="1"/>
  <c r="D18" i="12"/>
  <c r="E18" i="12"/>
  <c r="C18" i="12"/>
  <c r="E17" i="12"/>
  <c r="C17" i="12"/>
  <c r="I13" i="12"/>
  <c r="C13" i="12" s="1"/>
  <c r="E13" i="12"/>
  <c r="D13" i="12"/>
  <c r="I12" i="12"/>
  <c r="C12" i="12" s="1"/>
  <c r="E12" i="12"/>
  <c r="D12" i="12"/>
  <c r="I11" i="12"/>
  <c r="C11" i="12" s="1"/>
  <c r="E11" i="12"/>
  <c r="D11" i="12"/>
  <c r="F27" i="19" l="1"/>
  <c r="F15" i="19"/>
  <c r="F17" i="19" s="1"/>
  <c r="E12" i="41" l="1"/>
  <c r="E11" i="41"/>
  <c r="E13" i="41"/>
  <c r="A1" i="41" l="1"/>
  <c r="A1" i="19"/>
  <c r="A1" i="40"/>
  <c r="C23" i="12" l="1"/>
  <c r="E23" i="12"/>
  <c r="F23" i="12"/>
  <c r="G11" i="41" l="1"/>
  <c r="G12" i="41"/>
  <c r="G13" i="41" l="1"/>
  <c r="G17" i="41" l="1"/>
  <c r="C24" i="41"/>
  <c r="C23" i="41"/>
  <c r="E5" i="41"/>
  <c r="F4" i="41"/>
  <c r="B4" i="41"/>
  <c r="B3" i="41"/>
  <c r="D2" i="41"/>
  <c r="D1" i="41"/>
  <c r="B19" i="40" l="1"/>
  <c r="B18" i="40"/>
  <c r="B14" i="40"/>
  <c r="B13" i="40"/>
  <c r="B12" i="40"/>
  <c r="B11" i="40"/>
  <c r="A10" i="40"/>
  <c r="F5" i="40"/>
  <c r="B4" i="40"/>
  <c r="H3" i="40"/>
  <c r="B3" i="40"/>
  <c r="C2" i="40"/>
  <c r="C1" i="40"/>
  <c r="C2" i="19" l="1"/>
  <c r="M89" i="1"/>
  <c r="D5" i="36" l="1"/>
  <c r="E4" i="36"/>
  <c r="B4" i="36"/>
  <c r="B3" i="36"/>
  <c r="A2" i="36"/>
  <c r="A1" i="36"/>
  <c r="A4" i="19"/>
  <c r="A5" i="19"/>
  <c r="A6" i="19"/>
  <c r="A3" i="19"/>
  <c r="D4" i="19"/>
  <c r="M5" i="2"/>
  <c r="L5" i="12"/>
  <c r="F13" i="36" l="1"/>
  <c r="F14" i="36" s="1"/>
  <c r="F25" i="36" s="1"/>
  <c r="F17" i="36"/>
  <c r="F18" i="36"/>
  <c r="F19" i="36"/>
  <c r="F20" i="36"/>
  <c r="F21" i="36"/>
  <c r="F22" i="36"/>
  <c r="F24" i="36" l="1"/>
  <c r="F26" i="36" s="1"/>
  <c r="B30" i="36"/>
  <c r="B29" i="36"/>
  <c r="J23" i="12" l="1"/>
  <c r="K23" i="12"/>
  <c r="L23" i="12"/>
  <c r="M23" i="12"/>
  <c r="N23" i="12"/>
  <c r="O23" i="12"/>
  <c r="P23" i="12"/>
  <c r="Q23" i="12"/>
  <c r="D23" i="12"/>
  <c r="G23" i="12"/>
  <c r="H23" i="12"/>
  <c r="I23" i="12"/>
  <c r="R77" i="2" l="1"/>
  <c r="B77" i="2"/>
  <c r="A77" i="2"/>
  <c r="B29" i="35"/>
  <c r="B28" i="35"/>
  <c r="T74" i="2" l="1"/>
  <c r="T78" i="2"/>
  <c r="T54" i="2"/>
  <c r="T55" i="2"/>
  <c r="T56" i="2"/>
  <c r="T61" i="2"/>
  <c r="T44" i="2"/>
  <c r="T52" i="2"/>
  <c r="T33" i="2"/>
  <c r="T17" i="2"/>
  <c r="T18" i="2"/>
  <c r="T23" i="2"/>
  <c r="T24" i="2"/>
  <c r="T25" i="2"/>
  <c r="T27" i="2"/>
  <c r="R79" i="2"/>
  <c r="R80" i="2"/>
  <c r="R81" i="2"/>
  <c r="R82" i="2"/>
  <c r="R83" i="2"/>
  <c r="A80" i="2"/>
  <c r="B80" i="2"/>
  <c r="A81" i="2"/>
  <c r="B81" i="2"/>
  <c r="A82" i="2"/>
  <c r="B82" i="2"/>
  <c r="A83" i="2"/>
  <c r="B83" i="2"/>
  <c r="B79" i="2"/>
  <c r="A79" i="2"/>
  <c r="R75" i="2"/>
  <c r="R76" i="2"/>
  <c r="A76" i="2"/>
  <c r="B76" i="2"/>
  <c r="B75" i="2"/>
  <c r="A75" i="2"/>
  <c r="R62" i="2"/>
  <c r="R63" i="2"/>
  <c r="R64" i="2"/>
  <c r="R65" i="2"/>
  <c r="R66" i="2"/>
  <c r="R67" i="2"/>
  <c r="R68" i="2"/>
  <c r="R69" i="2"/>
  <c r="R70" i="2"/>
  <c r="R71" i="2"/>
  <c r="R72" i="2"/>
  <c r="R73" i="2"/>
  <c r="R57" i="2"/>
  <c r="R58" i="2"/>
  <c r="R59" i="2"/>
  <c r="R60" i="2"/>
  <c r="A63" i="2"/>
  <c r="B63" i="2"/>
  <c r="A64" i="2"/>
  <c r="B64" i="2"/>
  <c r="A65" i="2"/>
  <c r="B65" i="2"/>
  <c r="A66" i="2"/>
  <c r="B66" i="2"/>
  <c r="A67" i="2"/>
  <c r="B67" i="2"/>
  <c r="A68" i="2"/>
  <c r="A69" i="2"/>
  <c r="B69" i="2"/>
  <c r="A70" i="2"/>
  <c r="B70" i="2"/>
  <c r="A71" i="2"/>
  <c r="B71" i="2"/>
  <c r="A72" i="2"/>
  <c r="B72" i="2"/>
  <c r="A73" i="2"/>
  <c r="B73" i="2"/>
  <c r="B62" i="2"/>
  <c r="A62" i="2"/>
  <c r="A58" i="2"/>
  <c r="B58" i="2"/>
  <c r="A59" i="2"/>
  <c r="B59" i="2"/>
  <c r="A60" i="2"/>
  <c r="B60" i="2"/>
  <c r="B57" i="2"/>
  <c r="A57" i="2"/>
  <c r="R53" i="2"/>
  <c r="R46" i="2"/>
  <c r="R47" i="2"/>
  <c r="R48" i="2"/>
  <c r="R49" i="2"/>
  <c r="R50" i="2"/>
  <c r="R51" i="2"/>
  <c r="R34" i="2"/>
  <c r="R35" i="2"/>
  <c r="R36" i="2"/>
  <c r="R37" i="2"/>
  <c r="R38" i="2"/>
  <c r="R39" i="2"/>
  <c r="R40" i="2"/>
  <c r="R41" i="2"/>
  <c r="R42" i="2"/>
  <c r="R43" i="2"/>
  <c r="R45" i="2"/>
  <c r="B53" i="2"/>
  <c r="A53" i="2"/>
  <c r="A46" i="2"/>
  <c r="B46" i="2"/>
  <c r="A47" i="2"/>
  <c r="B47" i="2"/>
  <c r="A48" i="2"/>
  <c r="B48" i="2"/>
  <c r="A49" i="2"/>
  <c r="B49" i="2"/>
  <c r="A50" i="2"/>
  <c r="B50" i="2"/>
  <c r="A51" i="2"/>
  <c r="B51" i="2"/>
  <c r="B45" i="2"/>
  <c r="A45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B34" i="2"/>
  <c r="A34" i="2"/>
  <c r="R26" i="2"/>
  <c r="R28" i="2"/>
  <c r="R29" i="2"/>
  <c r="R30" i="2"/>
  <c r="R31" i="2"/>
  <c r="R32" i="2"/>
  <c r="B29" i="2"/>
  <c r="B30" i="2"/>
  <c r="B31" i="2"/>
  <c r="B32" i="2"/>
  <c r="B28" i="2"/>
  <c r="A32" i="2"/>
  <c r="A29" i="2"/>
  <c r="A30" i="2"/>
  <c r="A31" i="2"/>
  <c r="A28" i="2"/>
  <c r="B26" i="2"/>
  <c r="A26" i="2"/>
  <c r="R20" i="2"/>
  <c r="R21" i="2"/>
  <c r="R22" i="2"/>
  <c r="R19" i="2"/>
  <c r="A20" i="2"/>
  <c r="B20" i="2"/>
  <c r="A21" i="2"/>
  <c r="B21" i="2"/>
  <c r="A22" i="2"/>
  <c r="B22" i="2"/>
  <c r="B19" i="2"/>
  <c r="A19" i="2"/>
  <c r="R12" i="2"/>
  <c r="R13" i="2"/>
  <c r="R14" i="2"/>
  <c r="R15" i="2"/>
  <c r="R16" i="2"/>
  <c r="B13" i="2"/>
  <c r="B14" i="2"/>
  <c r="B15" i="2"/>
  <c r="B16" i="2"/>
  <c r="A16" i="2"/>
  <c r="A13" i="2"/>
  <c r="A14" i="2"/>
  <c r="A15" i="2"/>
  <c r="A12" i="2"/>
  <c r="B12" i="2"/>
  <c r="E4" i="19" l="1"/>
  <c r="B4" i="19"/>
  <c r="G3" i="19"/>
  <c r="E3" i="19"/>
  <c r="B3" i="19"/>
  <c r="C1" i="19"/>
  <c r="P3" i="2"/>
  <c r="B4" i="2"/>
  <c r="B3" i="2"/>
  <c r="A2" i="2"/>
  <c r="A1" i="2"/>
  <c r="B28" i="33" l="1"/>
  <c r="B27" i="33"/>
  <c r="O4" i="12" l="1"/>
  <c r="B4" i="12"/>
  <c r="B3" i="12"/>
  <c r="A2" i="12"/>
  <c r="A1" i="12"/>
  <c r="I51" i="20" l="1"/>
  <c r="J51" i="20" s="1"/>
  <c r="J50" i="20"/>
  <c r="J46" i="20"/>
  <c r="J47" i="20" s="1"/>
  <c r="J42" i="20"/>
  <c r="J41" i="20"/>
  <c r="J40" i="20"/>
  <c r="J39" i="20"/>
  <c r="J38" i="20"/>
  <c r="I6" i="20"/>
  <c r="B5" i="20"/>
  <c r="B4" i="20"/>
  <c r="A2" i="20"/>
  <c r="A1" i="20"/>
  <c r="J52" i="20" l="1"/>
  <c r="J43" i="20"/>
  <c r="J55" i="20" l="1"/>
  <c r="J56" i="20" s="1"/>
  <c r="J57" i="20" s="1"/>
  <c r="I27" i="20" l="1"/>
  <c r="D26" i="28" l="1"/>
  <c r="A11" i="40" l="1"/>
  <c r="H3" i="41"/>
  <c r="F6" i="40"/>
  <c r="G3" i="36"/>
  <c r="G4" i="19"/>
  <c r="M6" i="2"/>
  <c r="L6" i="12"/>
  <c r="F7" i="20"/>
  <c r="J13" i="20"/>
  <c r="J14" i="20"/>
  <c r="J15" i="20"/>
  <c r="J16" i="20"/>
  <c r="J18" i="20"/>
  <c r="A13" i="40" l="1"/>
  <c r="A12" i="40"/>
  <c r="A34" i="28"/>
  <c r="A32" i="28"/>
  <c r="A30" i="28"/>
  <c r="A28" i="28"/>
  <c r="A26" i="28"/>
  <c r="A24" i="28"/>
  <c r="A22" i="28"/>
  <c r="A20" i="28"/>
  <c r="A18" i="28"/>
  <c r="A16" i="28"/>
  <c r="A12" i="28"/>
  <c r="A10" i="28"/>
  <c r="P34" i="28"/>
  <c r="P32" i="28"/>
  <c r="P30" i="28"/>
  <c r="P28" i="28"/>
  <c r="P27" i="28"/>
  <c r="P26" i="28"/>
  <c r="P24" i="28"/>
  <c r="P22" i="28"/>
  <c r="P20" i="28"/>
  <c r="P18" i="28"/>
  <c r="P16" i="28"/>
  <c r="P15" i="28"/>
  <c r="P14" i="28"/>
  <c r="P12" i="28"/>
  <c r="P10" i="28"/>
  <c r="H8" i="28"/>
  <c r="J8" i="28" s="1"/>
  <c r="L8" i="28" s="1"/>
  <c r="N8" i="28" s="1"/>
  <c r="C25" i="8" l="1"/>
  <c r="I25" i="8"/>
  <c r="E25" i="8" l="1"/>
  <c r="H23" i="35" l="1"/>
  <c r="C23" i="35"/>
  <c r="J25" i="8" l="1"/>
  <c r="C24" i="33"/>
  <c r="A14" i="40" l="1"/>
  <c r="J24" i="33"/>
  <c r="E23" i="35" l="1"/>
  <c r="K24" i="33"/>
  <c r="C71" i="2"/>
  <c r="I23" i="35" l="1"/>
  <c r="N24" i="33"/>
  <c r="L24" i="33"/>
  <c r="E71" i="2"/>
  <c r="G71" i="2"/>
  <c r="O71" i="2"/>
  <c r="M71" i="2"/>
  <c r="K71" i="2"/>
  <c r="I71" i="2"/>
  <c r="C70" i="2"/>
  <c r="K23" i="35" l="1"/>
  <c r="C24" i="35" s="1"/>
  <c r="P24" i="33"/>
  <c r="M70" i="2"/>
  <c r="I70" i="2"/>
  <c r="G70" i="2"/>
  <c r="K70" i="2"/>
  <c r="E70" i="2"/>
  <c r="O70" i="2"/>
  <c r="Q71" i="2"/>
  <c r="T71" i="2" s="1"/>
  <c r="A18" i="2"/>
  <c r="C77" i="2" l="1"/>
  <c r="O77" i="2" s="1"/>
  <c r="B5" i="41"/>
  <c r="B5" i="40"/>
  <c r="C40" i="2"/>
  <c r="B5" i="36"/>
  <c r="Q70" i="2"/>
  <c r="T70" i="2" s="1"/>
  <c r="B5" i="19"/>
  <c r="B5" i="2"/>
  <c r="B6" i="20"/>
  <c r="B5" i="12"/>
  <c r="B18" i="2"/>
  <c r="B12" i="28"/>
  <c r="M77" i="2" l="1"/>
  <c r="K77" i="2"/>
  <c r="I77" i="2"/>
  <c r="I40" i="2"/>
  <c r="K40" i="2"/>
  <c r="E40" i="2"/>
  <c r="M40" i="2"/>
  <c r="G40" i="2"/>
  <c r="C46" i="2"/>
  <c r="Q77" i="2" l="1"/>
  <c r="T77" i="2" s="1"/>
  <c r="Q40" i="2"/>
  <c r="T40" i="2" s="1"/>
  <c r="C42" i="2"/>
  <c r="G46" i="2"/>
  <c r="K46" i="2"/>
  <c r="I46" i="2"/>
  <c r="E46" i="2"/>
  <c r="M46" i="2"/>
  <c r="C35" i="2"/>
  <c r="C41" i="2" l="1"/>
  <c r="E42" i="2"/>
  <c r="I42" i="2"/>
  <c r="K42" i="2"/>
  <c r="G42" i="2"/>
  <c r="M42" i="2"/>
  <c r="Q46" i="2"/>
  <c r="T46" i="2" s="1"/>
  <c r="M35" i="2"/>
  <c r="K35" i="2"/>
  <c r="I35" i="2"/>
  <c r="G35" i="2"/>
  <c r="E35" i="2"/>
  <c r="B39" i="19"/>
  <c r="B38" i="19"/>
  <c r="Q42" i="2" l="1"/>
  <c r="T42" i="2" s="1"/>
  <c r="E41" i="2"/>
  <c r="I41" i="2"/>
  <c r="G41" i="2"/>
  <c r="M41" i="2"/>
  <c r="K41" i="2"/>
  <c r="Q35" i="2"/>
  <c r="T35" i="2" s="1"/>
  <c r="Q41" i="2" l="1"/>
  <c r="T41" i="2" s="1"/>
  <c r="C80" i="2"/>
  <c r="O80" i="2" l="1"/>
  <c r="K80" i="2"/>
  <c r="M80" i="2"/>
  <c r="B6" i="19"/>
  <c r="B67" i="20"/>
  <c r="B66" i="20"/>
  <c r="J27" i="20"/>
  <c r="J26" i="20"/>
  <c r="J22" i="20"/>
  <c r="J23" i="20" s="1"/>
  <c r="H17" i="20"/>
  <c r="J17" i="20" s="1"/>
  <c r="B45" i="28"/>
  <c r="B44" i="28"/>
  <c r="B69" i="15"/>
  <c r="B68" i="15"/>
  <c r="B82" i="1"/>
  <c r="B81" i="1"/>
  <c r="A11" i="2"/>
  <c r="A78" i="2"/>
  <c r="A74" i="2"/>
  <c r="A61" i="2"/>
  <c r="A56" i="2"/>
  <c r="A55" i="2"/>
  <c r="A52" i="2"/>
  <c r="A44" i="2"/>
  <c r="A33" i="2"/>
  <c r="A27" i="2"/>
  <c r="A25" i="2"/>
  <c r="B28" i="12"/>
  <c r="B27" i="12"/>
  <c r="B30" i="8"/>
  <c r="B29" i="8"/>
  <c r="Q80" i="2" l="1"/>
  <c r="T80" i="2" s="1"/>
  <c r="B10" i="28"/>
  <c r="B28" i="28"/>
  <c r="B55" i="2"/>
  <c r="B26" i="28"/>
  <c r="B24" i="28"/>
  <c r="B25" i="2"/>
  <c r="B16" i="28"/>
  <c r="B22" i="28"/>
  <c r="B24" i="2"/>
  <c r="B14" i="28"/>
  <c r="B33" i="2"/>
  <c r="B20" i="28"/>
  <c r="B32" i="28"/>
  <c r="B30" i="28"/>
  <c r="A24" i="2"/>
  <c r="A14" i="28"/>
  <c r="B18" i="28"/>
  <c r="B78" i="2"/>
  <c r="B34" i="28"/>
  <c r="C24" i="12"/>
  <c r="C20" i="2"/>
  <c r="C21" i="2"/>
  <c r="C22" i="2"/>
  <c r="C39" i="2"/>
  <c r="C36" i="2"/>
  <c r="C50" i="2"/>
  <c r="C82" i="2"/>
  <c r="C13" i="2"/>
  <c r="C15" i="2"/>
  <c r="C26" i="8"/>
  <c r="B11" i="2"/>
  <c r="B44" i="2"/>
  <c r="B27" i="2"/>
  <c r="B56" i="2"/>
  <c r="J19" i="20"/>
  <c r="J28" i="20"/>
  <c r="B52" i="2"/>
  <c r="B74" i="2"/>
  <c r="B61" i="2"/>
  <c r="B7" i="20" l="1"/>
  <c r="B6" i="40"/>
  <c r="C38" i="2"/>
  <c r="C30" i="2"/>
  <c r="C16" i="2"/>
  <c r="E16" i="2" s="1"/>
  <c r="Q16" i="2" s="1"/>
  <c r="T16" i="2" s="1"/>
  <c r="C12" i="2"/>
  <c r="E12" i="2" s="1"/>
  <c r="Q12" i="2" s="1"/>
  <c r="T12" i="2" s="1"/>
  <c r="C19" i="2"/>
  <c r="K19" i="2" s="1"/>
  <c r="O82" i="2"/>
  <c r="M82" i="2"/>
  <c r="K82" i="2"/>
  <c r="E13" i="2"/>
  <c r="Q13" i="2" s="1"/>
  <c r="T13" i="2" s="1"/>
  <c r="K22" i="2"/>
  <c r="E22" i="2"/>
  <c r="I22" i="2"/>
  <c r="M22" i="2"/>
  <c r="O22" i="2"/>
  <c r="G22" i="2"/>
  <c r="O21" i="2"/>
  <c r="K21" i="2"/>
  <c r="E21" i="2"/>
  <c r="M21" i="2"/>
  <c r="I21" i="2"/>
  <c r="G21" i="2"/>
  <c r="K20" i="2"/>
  <c r="I20" i="2"/>
  <c r="M20" i="2"/>
  <c r="O20" i="2"/>
  <c r="E20" i="2"/>
  <c r="G20" i="2"/>
  <c r="M39" i="2"/>
  <c r="E39" i="2"/>
  <c r="K39" i="2"/>
  <c r="I39" i="2"/>
  <c r="G39" i="2"/>
  <c r="E50" i="2"/>
  <c r="G50" i="2"/>
  <c r="M50" i="2"/>
  <c r="I50" i="2"/>
  <c r="K50" i="2"/>
  <c r="K36" i="2"/>
  <c r="E36" i="2"/>
  <c r="M36" i="2"/>
  <c r="I36" i="2"/>
  <c r="G36" i="2"/>
  <c r="E15" i="2"/>
  <c r="Q15" i="2" s="1"/>
  <c r="T15" i="2" s="1"/>
  <c r="C81" i="2"/>
  <c r="C47" i="2"/>
  <c r="C37" i="2"/>
  <c r="J31" i="20"/>
  <c r="J32" i="20" s="1"/>
  <c r="J33" i="20" s="1"/>
  <c r="G19" i="2" l="1"/>
  <c r="O19" i="2"/>
  <c r="I19" i="2"/>
  <c r="M19" i="2"/>
  <c r="E19" i="2"/>
  <c r="C14" i="2"/>
  <c r="E14" i="2" s="1"/>
  <c r="Q14" i="2" s="1"/>
  <c r="T14" i="2" s="1"/>
  <c r="C79" i="2"/>
  <c r="O79" i="2" s="1"/>
  <c r="C51" i="2"/>
  <c r="M51" i="2" s="1"/>
  <c r="Q82" i="2"/>
  <c r="T82" i="2" s="1"/>
  <c r="K81" i="2"/>
  <c r="M81" i="2"/>
  <c r="O81" i="2"/>
  <c r="Q22" i="2"/>
  <c r="T22" i="2" s="1"/>
  <c r="Q21" i="2"/>
  <c r="T21" i="2" s="1"/>
  <c r="Q20" i="2"/>
  <c r="T20" i="2" s="1"/>
  <c r="M47" i="2"/>
  <c r="K47" i="2"/>
  <c r="I47" i="2"/>
  <c r="G47" i="2"/>
  <c r="E47" i="2"/>
  <c r="Q36" i="2"/>
  <c r="T36" i="2" s="1"/>
  <c r="G38" i="2"/>
  <c r="M38" i="2"/>
  <c r="K38" i="2"/>
  <c r="E38" i="2"/>
  <c r="I38" i="2"/>
  <c r="I30" i="2"/>
  <c r="G30" i="2"/>
  <c r="E30" i="2"/>
  <c r="Q50" i="2"/>
  <c r="T50" i="2" s="1"/>
  <c r="Q39" i="2"/>
  <c r="T39" i="2" s="1"/>
  <c r="C34" i="2"/>
  <c r="I37" i="2"/>
  <c r="K37" i="2"/>
  <c r="M37" i="2"/>
  <c r="G37" i="2"/>
  <c r="E37" i="2"/>
  <c r="C45" i="2"/>
  <c r="C49" i="2"/>
  <c r="C28" i="2" l="1"/>
  <c r="Q19" i="2"/>
  <c r="T19" i="2" s="1"/>
  <c r="C26" i="2"/>
  <c r="G26" i="2" s="1"/>
  <c r="G51" i="2"/>
  <c r="K51" i="2"/>
  <c r="K79" i="2"/>
  <c r="M79" i="2"/>
  <c r="I51" i="2"/>
  <c r="E51" i="2"/>
  <c r="Q81" i="2"/>
  <c r="T81" i="2" s="1"/>
  <c r="Q47" i="2"/>
  <c r="T47" i="2" s="1"/>
  <c r="C53" i="2"/>
  <c r="G34" i="2"/>
  <c r="I34" i="2"/>
  <c r="K34" i="2"/>
  <c r="E34" i="2"/>
  <c r="M34" i="2"/>
  <c r="Q37" i="2"/>
  <c r="T37" i="2" s="1"/>
  <c r="M49" i="2"/>
  <c r="I49" i="2"/>
  <c r="G49" i="2"/>
  <c r="K49" i="2"/>
  <c r="E49" i="2"/>
  <c r="I45" i="2"/>
  <c r="E45" i="2"/>
  <c r="G45" i="2"/>
  <c r="M45" i="2"/>
  <c r="K45" i="2"/>
  <c r="Q30" i="2"/>
  <c r="T30" i="2" s="1"/>
  <c r="Q38" i="2"/>
  <c r="T38" i="2" s="1"/>
  <c r="B6" i="2"/>
  <c r="B6" i="12"/>
  <c r="C29" i="2"/>
  <c r="C69" i="2"/>
  <c r="C68" i="2"/>
  <c r="B6" i="41"/>
  <c r="C43" i="2" l="1"/>
  <c r="E26" i="2"/>
  <c r="Q26" i="2" s="1"/>
  <c r="T26" i="2" s="1"/>
  <c r="C57" i="2"/>
  <c r="E57" i="2" s="1"/>
  <c r="B6" i="36"/>
  <c r="Q51" i="2"/>
  <c r="T51" i="2" s="1"/>
  <c r="Q79" i="2"/>
  <c r="T79" i="2" s="1"/>
  <c r="D24" i="28"/>
  <c r="Q49" i="2"/>
  <c r="T49" i="2" s="1"/>
  <c r="I29" i="2"/>
  <c r="G29" i="2"/>
  <c r="E29" i="2"/>
  <c r="Q34" i="2"/>
  <c r="T34" i="2" s="1"/>
  <c r="E53" i="2"/>
  <c r="Q53" i="2" s="1"/>
  <c r="T53" i="2" s="1"/>
  <c r="G28" i="2"/>
  <c r="I28" i="2"/>
  <c r="E28" i="2"/>
  <c r="Q45" i="2"/>
  <c r="T45" i="2" s="1"/>
  <c r="M69" i="2"/>
  <c r="I69" i="2"/>
  <c r="E69" i="2"/>
  <c r="G69" i="2"/>
  <c r="O69" i="2"/>
  <c r="K69" i="2"/>
  <c r="K68" i="2"/>
  <c r="M68" i="2"/>
  <c r="I68" i="2"/>
  <c r="G68" i="2"/>
  <c r="E68" i="2"/>
  <c r="O68" i="2"/>
  <c r="C59" i="2"/>
  <c r="C65" i="2"/>
  <c r="C31" i="2"/>
  <c r="C66" i="2"/>
  <c r="C67" i="2"/>
  <c r="D20" i="28" l="1"/>
  <c r="M43" i="2"/>
  <c r="E43" i="2"/>
  <c r="I43" i="2"/>
  <c r="G43" i="2"/>
  <c r="K43" i="2"/>
  <c r="I57" i="2"/>
  <c r="G57" i="2"/>
  <c r="C75" i="2"/>
  <c r="K75" i="2" s="1"/>
  <c r="C62" i="2"/>
  <c r="O62" i="2" s="1"/>
  <c r="E31" i="2"/>
  <c r="G31" i="2"/>
  <c r="I31" i="2"/>
  <c r="Q29" i="2"/>
  <c r="T29" i="2" s="1"/>
  <c r="Q28" i="2"/>
  <c r="T28" i="2" s="1"/>
  <c r="Q69" i="2"/>
  <c r="T69" i="2" s="1"/>
  <c r="O65" i="2"/>
  <c r="I65" i="2"/>
  <c r="E65" i="2"/>
  <c r="G65" i="2"/>
  <c r="K65" i="2"/>
  <c r="M65" i="2"/>
  <c r="O67" i="2"/>
  <c r="I67" i="2"/>
  <c r="K67" i="2"/>
  <c r="E67" i="2"/>
  <c r="G67" i="2"/>
  <c r="M67" i="2"/>
  <c r="K66" i="2"/>
  <c r="G66" i="2"/>
  <c r="M66" i="2"/>
  <c r="I66" i="2"/>
  <c r="O66" i="2"/>
  <c r="E66" i="2"/>
  <c r="Q68" i="2"/>
  <c r="T68" i="2" s="1"/>
  <c r="I59" i="2"/>
  <c r="E59" i="2"/>
  <c r="G59" i="2"/>
  <c r="D16" i="28"/>
  <c r="C60" i="2"/>
  <c r="Q57" i="2" l="1"/>
  <c r="T57" i="2" s="1"/>
  <c r="Q43" i="2"/>
  <c r="T43" i="2" s="1"/>
  <c r="C58" i="2"/>
  <c r="G58" i="2" s="1"/>
  <c r="M75" i="2"/>
  <c r="G62" i="2"/>
  <c r="O75" i="2"/>
  <c r="I75" i="2"/>
  <c r="E62" i="2"/>
  <c r="K62" i="2"/>
  <c r="M62" i="2"/>
  <c r="I62" i="2"/>
  <c r="Q31" i="2"/>
  <c r="T31" i="2" s="1"/>
  <c r="Q59" i="2"/>
  <c r="T59" i="2" s="1"/>
  <c r="I60" i="2"/>
  <c r="G60" i="2"/>
  <c r="E60" i="2"/>
  <c r="Q65" i="2"/>
  <c r="T65" i="2" s="1"/>
  <c r="Q66" i="2"/>
  <c r="T66" i="2" s="1"/>
  <c r="Q67" i="2"/>
  <c r="T67" i="2" s="1"/>
  <c r="C76" i="2"/>
  <c r="C72" i="2"/>
  <c r="C73" i="2"/>
  <c r="E58" i="2" l="1"/>
  <c r="I58" i="2"/>
  <c r="C64" i="2"/>
  <c r="K64" i="2" s="1"/>
  <c r="Q75" i="2"/>
  <c r="T75" i="2" s="1"/>
  <c r="Q62" i="2"/>
  <c r="T62" i="2" s="1"/>
  <c r="C63" i="2"/>
  <c r="M63" i="2" s="1"/>
  <c r="Q60" i="2"/>
  <c r="T60" i="2" s="1"/>
  <c r="C83" i="2"/>
  <c r="O76" i="2"/>
  <c r="M76" i="2"/>
  <c r="I76" i="2"/>
  <c r="K76" i="2"/>
  <c r="M72" i="2"/>
  <c r="G72" i="2"/>
  <c r="O72" i="2"/>
  <c r="E72" i="2"/>
  <c r="I72" i="2"/>
  <c r="K72" i="2"/>
  <c r="I73" i="2"/>
  <c r="O73" i="2"/>
  <c r="M73" i="2"/>
  <c r="E73" i="2"/>
  <c r="K73" i="2"/>
  <c r="G73" i="2"/>
  <c r="N73" i="1" l="1"/>
  <c r="N82" i="1"/>
  <c r="M79" i="1"/>
  <c r="Q58" i="2"/>
  <c r="T58" i="2" s="1"/>
  <c r="C32" i="2"/>
  <c r="G32" i="2" s="1"/>
  <c r="I64" i="2"/>
  <c r="E64" i="2"/>
  <c r="O64" i="2"/>
  <c r="G64" i="2"/>
  <c r="M64" i="2"/>
  <c r="G63" i="2"/>
  <c r="O63" i="2"/>
  <c r="I63" i="2"/>
  <c r="E63" i="2"/>
  <c r="K63" i="2"/>
  <c r="Q72" i="2"/>
  <c r="T72" i="2" s="1"/>
  <c r="O83" i="2"/>
  <c r="M83" i="2"/>
  <c r="K83" i="2"/>
  <c r="Q76" i="2"/>
  <c r="T76" i="2" s="1"/>
  <c r="Q73" i="2"/>
  <c r="T73" i="2" s="1"/>
  <c r="D34" i="28"/>
  <c r="D28" i="28"/>
  <c r="D32" i="28" l="1"/>
  <c r="I32" i="2"/>
  <c r="E32" i="2"/>
  <c r="Q64" i="2"/>
  <c r="T64" i="2" s="1"/>
  <c r="Q63" i="2"/>
  <c r="T63" i="2" s="1"/>
  <c r="Q83" i="2"/>
  <c r="T83" i="2" s="1"/>
  <c r="D30" i="28"/>
  <c r="Q32" i="2" l="1"/>
  <c r="T32" i="2" s="1"/>
  <c r="O85" i="2"/>
  <c r="D18" i="28"/>
  <c r="C48" i="2" l="1"/>
  <c r="E48" i="2" l="1"/>
  <c r="G48" i="2"/>
  <c r="I48" i="2"/>
  <c r="K48" i="2"/>
  <c r="M48" i="2"/>
  <c r="D22" i="28"/>
  <c r="Q48" i="2" l="1"/>
  <c r="T48" i="2" s="1"/>
  <c r="M85" i="2"/>
  <c r="G85" i="2"/>
  <c r="I85" i="2"/>
  <c r="K85" i="2"/>
  <c r="C85" i="2"/>
  <c r="D77" i="2" s="1"/>
  <c r="D79" i="2" l="1"/>
  <c r="D80" i="2"/>
  <c r="D81" i="2"/>
  <c r="D82" i="2"/>
  <c r="D83" i="2"/>
  <c r="D75" i="2"/>
  <c r="D76" i="2"/>
  <c r="D62" i="2"/>
  <c r="D64" i="2"/>
  <c r="D66" i="2"/>
  <c r="D67" i="2"/>
  <c r="D68" i="2"/>
  <c r="D69" i="2"/>
  <c r="D70" i="2"/>
  <c r="D72" i="2"/>
  <c r="D63" i="2"/>
  <c r="D73" i="2"/>
  <c r="D65" i="2"/>
  <c r="D71" i="2"/>
  <c r="D53" i="2"/>
  <c r="D57" i="2"/>
  <c r="D58" i="2"/>
  <c r="D59" i="2"/>
  <c r="D60" i="2"/>
  <c r="D45" i="2"/>
  <c r="D46" i="2"/>
  <c r="D47" i="2"/>
  <c r="D48" i="2"/>
  <c r="D49" i="2"/>
  <c r="D51" i="2"/>
  <c r="D50" i="2"/>
  <c r="D36" i="2"/>
  <c r="D40" i="2"/>
  <c r="D37" i="2"/>
  <c r="D41" i="2"/>
  <c r="D34" i="2"/>
  <c r="D38" i="2"/>
  <c r="D42" i="2"/>
  <c r="D43" i="2"/>
  <c r="D39" i="2"/>
  <c r="D35" i="2"/>
  <c r="D29" i="2"/>
  <c r="D30" i="2"/>
  <c r="D31" i="2"/>
  <c r="D28" i="2"/>
  <c r="D32" i="2"/>
  <c r="D26" i="2"/>
  <c r="D22" i="2"/>
  <c r="D14" i="2"/>
  <c r="D19" i="2"/>
  <c r="D12" i="2"/>
  <c r="D16" i="2"/>
  <c r="D15" i="2"/>
  <c r="D21" i="2"/>
  <c r="D20" i="2"/>
  <c r="D13" i="2"/>
  <c r="L85" i="2"/>
  <c r="N85" i="2"/>
  <c r="P85" i="2"/>
  <c r="H85" i="2"/>
  <c r="E85" i="2"/>
  <c r="J85" i="2"/>
  <c r="Q85" i="2" l="1"/>
  <c r="R85" i="2" s="1"/>
  <c r="E86" i="2"/>
  <c r="F85" i="2"/>
  <c r="F86" i="2" l="1"/>
  <c r="H86" i="2" s="1"/>
  <c r="J86" i="2" s="1"/>
  <c r="L86" i="2" s="1"/>
  <c r="N86" i="2" s="1"/>
  <c r="P86" i="2" s="1"/>
  <c r="G86" i="2"/>
  <c r="I86" i="2" s="1"/>
  <c r="K86" i="2" s="1"/>
  <c r="M86" i="2" s="1"/>
  <c r="O86" i="2" s="1"/>
  <c r="D85" i="2" l="1"/>
  <c r="D10" i="28" l="1"/>
  <c r="B68" i="2" l="1"/>
  <c r="D12" i="28" l="1"/>
  <c r="D38" i="28" s="1"/>
  <c r="C14" i="28" s="1"/>
  <c r="M90" i="1"/>
  <c r="C12" i="28" l="1"/>
  <c r="C10" i="28"/>
  <c r="C30" i="28"/>
  <c r="C24" i="28"/>
  <c r="C34" i="28"/>
  <c r="C20" i="28"/>
  <c r="C28" i="28"/>
  <c r="I56" i="28"/>
  <c r="G56" i="28" s="1"/>
  <c r="C18" i="28"/>
  <c r="C26" i="28"/>
  <c r="C16" i="28"/>
  <c r="C32" i="28"/>
  <c r="C22" i="28"/>
  <c r="S23" i="12"/>
  <c r="G27" i="41"/>
  <c r="H57" i="28" l="1"/>
  <c r="I21" i="28" s="1"/>
  <c r="C38" i="28"/>
  <c r="I27" i="41"/>
  <c r="K35" i="28" l="1"/>
  <c r="M23" i="28"/>
  <c r="I13" i="28"/>
  <c r="G31" i="28"/>
  <c r="I19" i="28"/>
  <c r="O31" i="28"/>
  <c r="I33" i="28"/>
  <c r="I25" i="28"/>
  <c r="M33" i="28"/>
  <c r="I23" i="28"/>
  <c r="M17" i="28"/>
  <c r="G21" i="28"/>
  <c r="M31" i="28"/>
  <c r="K11" i="28"/>
  <c r="M21" i="28"/>
  <c r="G13" i="28"/>
  <c r="K13" i="28"/>
  <c r="M35" i="28"/>
  <c r="G35" i="28"/>
  <c r="O17" i="28"/>
  <c r="O33" i="28"/>
  <c r="O19" i="28"/>
  <c r="K19" i="28"/>
  <c r="M19" i="28"/>
  <c r="G11" i="28"/>
  <c r="G23" i="28"/>
  <c r="O13" i="28"/>
  <c r="K29" i="28"/>
  <c r="G19" i="28"/>
  <c r="G25" i="28"/>
  <c r="O23" i="28"/>
  <c r="I29" i="28"/>
  <c r="G17" i="28"/>
  <c r="M13" i="28"/>
  <c r="O25" i="28"/>
  <c r="I35" i="28"/>
  <c r="O29" i="28"/>
  <c r="M25" i="28"/>
  <c r="G29" i="28"/>
  <c r="O21" i="28"/>
  <c r="M11" i="28"/>
  <c r="M29" i="28"/>
  <c r="I17" i="28"/>
  <c r="K25" i="28"/>
  <c r="K23" i="28"/>
  <c r="O35" i="28"/>
  <c r="K21" i="28"/>
  <c r="G33" i="28"/>
  <c r="K31" i="28"/>
  <c r="O11" i="28"/>
  <c r="K17" i="28"/>
  <c r="I11" i="28"/>
  <c r="G57" i="28"/>
  <c r="J23" i="28" s="1"/>
  <c r="K33" i="28"/>
  <c r="I31" i="28"/>
  <c r="J33" i="28" l="1"/>
  <c r="N21" i="28"/>
  <c r="F31" i="28"/>
  <c r="L31" i="28"/>
  <c r="H35" i="28"/>
  <c r="F29" i="28"/>
  <c r="J13" i="28"/>
  <c r="L17" i="28"/>
  <c r="L21" i="28"/>
  <c r="H11" i="28"/>
  <c r="L19" i="28"/>
  <c r="J17" i="28"/>
  <c r="H29" i="28"/>
  <c r="H23" i="28"/>
  <c r="G38" i="28"/>
  <c r="G39" i="28" s="1"/>
  <c r="O38" i="28"/>
  <c r="I38" i="28"/>
  <c r="M38" i="28"/>
  <c r="K38" i="28"/>
  <c r="F19" i="28"/>
  <c r="F35" i="28"/>
  <c r="N35" i="28"/>
  <c r="H31" i="28"/>
  <c r="H33" i="28"/>
  <c r="J35" i="28"/>
  <c r="L23" i="28"/>
  <c r="L29" i="28"/>
  <c r="H13" i="28"/>
  <c r="F33" i="28"/>
  <c r="N25" i="28"/>
  <c r="L35" i="28"/>
  <c r="N17" i="28"/>
  <c r="N29" i="28"/>
  <c r="H21" i="28"/>
  <c r="L11" i="28"/>
  <c r="J25" i="28"/>
  <c r="N19" i="28"/>
  <c r="F17" i="28"/>
  <c r="L33" i="28"/>
  <c r="I57" i="28"/>
  <c r="N13" i="28"/>
  <c r="J11" i="28"/>
  <c r="J29" i="28"/>
  <c r="J21" i="28"/>
  <c r="J19" i="28"/>
  <c r="H19" i="28"/>
  <c r="F13" i="28"/>
  <c r="L13" i="28"/>
  <c r="F23" i="28"/>
  <c r="N31" i="28"/>
  <c r="N23" i="28"/>
  <c r="N33" i="28"/>
  <c r="H25" i="28"/>
  <c r="L25" i="28"/>
  <c r="F25" i="28"/>
  <c r="H17" i="28"/>
  <c r="N11" i="28"/>
  <c r="F11" i="28"/>
  <c r="F21" i="28"/>
  <c r="J31" i="28"/>
  <c r="I39" i="28" l="1"/>
  <c r="K39" i="28" s="1"/>
  <c r="M39" i="28" s="1"/>
  <c r="O39" i="28" s="1"/>
  <c r="P29" i="28"/>
  <c r="R29" i="28" s="1"/>
  <c r="P31" i="28"/>
  <c r="R31" i="28" s="1"/>
  <c r="P19" i="28"/>
  <c r="R19" i="28" s="1"/>
  <c r="P17" i="28"/>
  <c r="R17" i="28" s="1"/>
  <c r="N38" i="28"/>
  <c r="N40" i="28" s="1"/>
  <c r="P21" i="28"/>
  <c r="R21" i="28" s="1"/>
  <c r="P25" i="28"/>
  <c r="R25" i="28" s="1"/>
  <c r="P23" i="28"/>
  <c r="R23" i="28" s="1"/>
  <c r="P13" i="28"/>
  <c r="R13" i="28" s="1"/>
  <c r="J38" i="28"/>
  <c r="J40" i="28" s="1"/>
  <c r="P33" i="28"/>
  <c r="R33" i="28" s="1"/>
  <c r="P11" i="28"/>
  <c r="R11" i="28" s="1"/>
  <c r="L38" i="28"/>
  <c r="L40" i="28" s="1"/>
  <c r="H38" i="28"/>
  <c r="H40" i="28" s="1"/>
  <c r="F38" i="28"/>
  <c r="F39" i="28" s="1"/>
  <c r="P35" i="28"/>
  <c r="R35" i="28" s="1"/>
  <c r="P38" i="28" l="1"/>
  <c r="H39" i="28"/>
  <c r="J39" i="28" s="1"/>
  <c r="L39" i="28" s="1"/>
  <c r="N39" i="28" s="1"/>
  <c r="F40" i="28"/>
  <c r="P40" i="28" s="1"/>
</calcChain>
</file>

<file path=xl/sharedStrings.xml><?xml version="1.0" encoding="utf-8"?>
<sst xmlns="http://schemas.openxmlformats.org/spreadsheetml/2006/main" count="2082" uniqueCount="709">
  <si>
    <t>ITEM</t>
  </si>
  <si>
    <t>DESCRIÇÃO DO ITEM</t>
  </si>
  <si>
    <t>UNID</t>
  </si>
  <si>
    <t>QUANT</t>
  </si>
  <si>
    <t>(%)</t>
  </si>
  <si>
    <t>m</t>
  </si>
  <si>
    <t>m²</t>
  </si>
  <si>
    <t>TOTAL DO ITEM</t>
  </si>
  <si>
    <t xml:space="preserve">Obra: </t>
  </si>
  <si>
    <t>CRONOGRAMA FISICO FINANCEIRO</t>
  </si>
  <si>
    <t>DESCRIÇÃO / ETAPA</t>
  </si>
  <si>
    <t>PERIODO</t>
  </si>
  <si>
    <t>À Executar</t>
  </si>
  <si>
    <t>TOTAL</t>
  </si>
  <si>
    <t>Valor(R$)</t>
  </si>
  <si>
    <t>%</t>
  </si>
  <si>
    <t>Valor (R$)</t>
  </si>
  <si>
    <t>Valor Do Mês</t>
  </si>
  <si>
    <t>Valor Acomulado</t>
  </si>
  <si>
    <t>RESUMO SINTÉTICO</t>
  </si>
  <si>
    <t>DESCRIÇÃO DOS SERVIÇOS</t>
  </si>
  <si>
    <t>VALOR ÍTEM</t>
  </si>
  <si>
    <t xml:space="preserve">Local: </t>
  </si>
  <si>
    <t>1.1</t>
  </si>
  <si>
    <t>2.1</t>
  </si>
  <si>
    <t>3.1</t>
  </si>
  <si>
    <t>3.2</t>
  </si>
  <si>
    <t>3.3</t>
  </si>
  <si>
    <t>3.4</t>
  </si>
  <si>
    <t>3.5</t>
  </si>
  <si>
    <t>SERVIÇOS PRELIMINARES</t>
  </si>
  <si>
    <t>m³</t>
  </si>
  <si>
    <t>2.2</t>
  </si>
  <si>
    <t>2.3</t>
  </si>
  <si>
    <t>2.4</t>
  </si>
  <si>
    <t>M²</t>
  </si>
  <si>
    <t>74209/001</t>
  </si>
  <si>
    <t>2.5</t>
  </si>
  <si>
    <t>3.1.1</t>
  </si>
  <si>
    <t>3.3.1</t>
  </si>
  <si>
    <t>3.4.1</t>
  </si>
  <si>
    <t>3.5.1</t>
  </si>
  <si>
    <t>PAVIMENTAÇÃO</t>
  </si>
  <si>
    <t>ÁREAS:</t>
  </si>
  <si>
    <t>1.2</t>
  </si>
  <si>
    <t>1.3</t>
  </si>
  <si>
    <t>2.6</t>
  </si>
  <si>
    <t>3.6</t>
  </si>
  <si>
    <t>UND</t>
  </si>
  <si>
    <t>DRENAGEM DE ÁGUAS PLUVIAIS</t>
  </si>
  <si>
    <t>ELEMENTOS AUXILIARES</t>
  </si>
  <si>
    <t>SINALIZAÇÃO</t>
  </si>
  <si>
    <t>74221/001</t>
  </si>
  <si>
    <t>SINALIZACAO DE TRANSITO - NOTURNA</t>
  </si>
  <si>
    <t>ESTADO DE MATO GROSSO</t>
  </si>
  <si>
    <t>OBRA:</t>
  </si>
  <si>
    <t>LOCAL:</t>
  </si>
  <si>
    <t>PROPR.:</t>
  </si>
  <si>
    <t>ÁREA (M²):</t>
  </si>
  <si>
    <t>BDI:</t>
  </si>
  <si>
    <t>TABELA:</t>
  </si>
  <si>
    <t>Item</t>
  </si>
  <si>
    <t>Rua/Avenida</t>
  </si>
  <si>
    <t>Área (m²)</t>
  </si>
  <si>
    <t>Limpa-Rodas</t>
  </si>
  <si>
    <t>Área Total (m²)</t>
  </si>
  <si>
    <t>Código</t>
  </si>
  <si>
    <t>Quant.</t>
  </si>
  <si>
    <t>Área Parcial (m²)</t>
  </si>
  <si>
    <t>Totais Parciais - m²</t>
  </si>
  <si>
    <t>Total Geral - m²</t>
  </si>
  <si>
    <t>Lado Direito</t>
  </si>
  <si>
    <t>Totais Parciais - m</t>
  </si>
  <si>
    <t>MEMÓRIA DE CÁLCULO</t>
  </si>
  <si>
    <t>1.0</t>
  </si>
  <si>
    <t>Tubulação D=40cm</t>
  </si>
  <si>
    <t>Tubulação D=60cm</t>
  </si>
  <si>
    <t>Dissipador de energia</t>
  </si>
  <si>
    <t>und</t>
  </si>
  <si>
    <t>2.0</t>
  </si>
  <si>
    <t>Tubulação D=80cm</t>
  </si>
  <si>
    <t>Tubulação D=100cm</t>
  </si>
  <si>
    <t>Tubulação D=120cm</t>
  </si>
  <si>
    <t>Tubulação D=150cm</t>
  </si>
  <si>
    <t>Boca de lobo simples</t>
  </si>
  <si>
    <t>3.0</t>
  </si>
  <si>
    <t>4.0</t>
  </si>
  <si>
    <t>RUA</t>
  </si>
  <si>
    <t>TUBULAÇÃO</t>
  </si>
  <si>
    <t>BOCA DE LOBO</t>
  </si>
  <si>
    <t>CAIXA DE PASSAGEM</t>
  </si>
  <si>
    <t>DISSIPADOR</t>
  </si>
  <si>
    <t>Ø 40cm</t>
  </si>
  <si>
    <t>Ø 60cm</t>
  </si>
  <si>
    <t>Ø 80cm</t>
  </si>
  <si>
    <t>Ø 100cm</t>
  </si>
  <si>
    <t>Ø 120cm</t>
  </si>
  <si>
    <t>SIMP</t>
  </si>
  <si>
    <t>TOTAL PARCIAL - M</t>
  </si>
  <si>
    <t>TOTAL GERAL - M</t>
  </si>
  <si>
    <t>Lado esquerdo</t>
  </si>
  <si>
    <t>PLACA DE OBRA EM CHAPA DE ACO GALVANIZADO</t>
  </si>
  <si>
    <t>LOCAÇÃO DE REDES DE ÁGUA OU DE ESGOTO, INCLUSIVE TOPOGRAFO</t>
  </si>
  <si>
    <t>SERVIÇOS PRELIMINARES GERAL</t>
  </si>
  <si>
    <t>REGULARIZACAO E COMPACTACAO DE SUBLEITO ATE 20 CM DE ESPESSURA</t>
  </si>
  <si>
    <t>SINALIZAÇÃO HORIZONTAL E VERTICAL</t>
  </si>
  <si>
    <t>1-MEMORIAL DE CÁLCULO DO FORNECIMENTO E IMPLANTAÇÃO DE PLACAS DE SINALIZAÇÃO</t>
  </si>
  <si>
    <t>Área =</t>
  </si>
  <si>
    <t>x</t>
  </si>
  <si>
    <t>ud</t>
  </si>
  <si>
    <t>=</t>
  </si>
  <si>
    <t>1.4</t>
  </si>
  <si>
    <t>A-32b (faixa ped.)</t>
  </si>
  <si>
    <t>Lado: 0,50x0,50m</t>
  </si>
  <si>
    <t>2-SUPORTE E TRAVESSAS PARA FIXAÇÃO DAS PLACAS</t>
  </si>
  <si>
    <t>PLACAS DE SINALIZAÇÃO</t>
  </si>
  <si>
    <t>3-TINTA ACRILICA PARA PINTURA VIÁRIA</t>
  </si>
  <si>
    <t>LISTRAS "SECCIONADAS" DE 4M</t>
  </si>
  <si>
    <t>Largura</t>
  </si>
  <si>
    <t>Comp.</t>
  </si>
  <si>
    <t>Quant</t>
  </si>
  <si>
    <t>Total</t>
  </si>
  <si>
    <t>FAIXAS DE PEDRESTRES</t>
  </si>
  <si>
    <t>Comprim</t>
  </si>
  <si>
    <t>Nr. Bloco</t>
  </si>
  <si>
    <t>FAIXAS D BORDO</t>
  </si>
  <si>
    <t>Comprim.</t>
  </si>
  <si>
    <t xml:space="preserve">TOTAL </t>
  </si>
  <si>
    <t>RESUMO</t>
  </si>
  <si>
    <t>PREÇO UNIT COM BDI</t>
  </si>
  <si>
    <t>PLANILHA ORÇAMENTÁRIA</t>
  </si>
  <si>
    <t xml:space="preserve">VALOR PARCIAL SEM BDI   </t>
  </si>
  <si>
    <t>MOVIMENTO DE TERRA</t>
  </si>
  <si>
    <t>FORNECIMENTO E ASSENTAMENTO DE TUBOS</t>
  </si>
  <si>
    <t>TERRAPLANAGEM</t>
  </si>
  <si>
    <t>TABELA REFERÊNCIA</t>
  </si>
  <si>
    <t>DISCRIMINAÇÃO</t>
  </si>
  <si>
    <t>COMPR</t>
  </si>
  <si>
    <t>ALT</t>
  </si>
  <si>
    <t>LARG</t>
  </si>
  <si>
    <t>74205/001</t>
  </si>
  <si>
    <t>ESCAVACAO MECANICA DE MATERIAL 1A. CATEGORIA, PROVENIENTE DE CORTE DE SUBLEITO (C/TRATOR ESTEIRAS 160HP)</t>
  </si>
  <si>
    <t>Ver planilha de Drenagem</t>
  </si>
  <si>
    <t>volume da base+sub-base</t>
  </si>
  <si>
    <t>Extensão total da Drenagem</t>
  </si>
  <si>
    <t>π x r²</t>
  </si>
  <si>
    <t>Ver planilha de sinalização</t>
  </si>
  <si>
    <t>Ver projeto de Drenagem</t>
  </si>
  <si>
    <r>
      <t>R-05  (</t>
    </r>
    <r>
      <rPr>
        <sz val="10"/>
        <rFont val="Calibri"/>
        <family val="2"/>
      </rPr>
      <t>∆</t>
    </r>
    <r>
      <rPr>
        <sz val="10"/>
        <rFont val="Arial"/>
        <family val="2"/>
      </rPr>
      <t>) (Nome das Ruas)</t>
    </r>
  </si>
  <si>
    <t>(Extensão do meio fio)</t>
  </si>
  <si>
    <t>TOTAL DA PLANILHA</t>
  </si>
  <si>
    <t>2.5.1</t>
  </si>
  <si>
    <t>3.2.1</t>
  </si>
  <si>
    <t>3.2.2</t>
  </si>
  <si>
    <t>3.2.3</t>
  </si>
  <si>
    <t>3.2.4</t>
  </si>
  <si>
    <t>3.3.2</t>
  </si>
  <si>
    <t>3.4.2</t>
  </si>
  <si>
    <t>3.4.3</t>
  </si>
  <si>
    <t>QCI - QUADRO DE COMPOSIÇÃO DO INVESTIMENTO</t>
  </si>
  <si>
    <t>Contrapartida</t>
  </si>
  <si>
    <t>COMPOSIÇÃO DE BDI</t>
  </si>
  <si>
    <t>RISCO</t>
  </si>
  <si>
    <t>DESPESAS FINANCEIRAS</t>
  </si>
  <si>
    <t>ADMINISTRAÇÃO CENTRAL</t>
  </si>
  <si>
    <t>LUCRO</t>
  </si>
  <si>
    <t>4.1</t>
  </si>
  <si>
    <t>4.2</t>
  </si>
  <si>
    <t>4.3</t>
  </si>
  <si>
    <t>4.4</t>
  </si>
  <si>
    <t>4.5</t>
  </si>
  <si>
    <t>4.6</t>
  </si>
  <si>
    <t>4.7</t>
  </si>
  <si>
    <t>4.8</t>
  </si>
  <si>
    <t>5.0</t>
  </si>
  <si>
    <t>EXTENSÃO</t>
  </si>
  <si>
    <t>Caixa Coletora</t>
  </si>
  <si>
    <t>ROBSON DARCIO SOUSA</t>
  </si>
  <si>
    <t>POÇO DE VISITA (Ø60)</t>
  </si>
  <si>
    <t>POÇO DE VISITA (Ø80)</t>
  </si>
  <si>
    <t>3.9</t>
  </si>
  <si>
    <t>Poço de Visita - Coletor de Ø80</t>
  </si>
  <si>
    <t>Poço de Visita - Coletor de Ø60</t>
  </si>
  <si>
    <t>4.9</t>
  </si>
  <si>
    <t>TRATAMENTO SUPERFICIAL DUPLO - TSD, COM EMULSAO RR-2C</t>
  </si>
  <si>
    <t>CAPA SELANTE COM EMULSAO RR-2C, INCLUSO APLICACAO E COMPACTACAO</t>
  </si>
  <si>
    <t xml:space="preserve">Equipamentos                  </t>
  </si>
  <si>
    <t xml:space="preserve">Unid </t>
  </si>
  <si>
    <t xml:space="preserve">Qtde </t>
  </si>
  <si>
    <t xml:space="preserve">Custo Unit </t>
  </si>
  <si>
    <t xml:space="preserve">Custo Total </t>
  </si>
  <si>
    <t>Cód. Sinapi</t>
  </si>
  <si>
    <t>CAMINHÃO BASCULANTE 204 CV (VU=7 ANOS/14.000H) - CHP DIURNO</t>
  </si>
  <si>
    <t>CHP</t>
  </si>
  <si>
    <t>ROLO COMPACTADOR DE PNEUS ESTATICO, PRESSÃO VARIÁVEL, POTENCIA 11 HP - PESO SEM/COM LASTRO 9,5/22,4T</t>
  </si>
  <si>
    <t>CHI</t>
  </si>
  <si>
    <t>DISTRIBUIDOR DE BETUME 6000L - 56CV - SOB PRESSÃO MONTADO SOBRE CHASSIS DE CAMINHÃO</t>
  </si>
  <si>
    <t>DISTRIBUIDOR DE BETUME 6000L - 56CV - SOB PRESSÃO MONTADO SOBRE CHASSIS DE CAMINHÃO - MANUTENÇÃO</t>
  </si>
  <si>
    <t>H</t>
  </si>
  <si>
    <t>DISTRIBUIDOR DE AGREGADOS AUTROPELIDO, CAP 3 M³, A DISEL, 6CC</t>
  </si>
  <si>
    <t xml:space="preserve">Total de equipamentos                                                               </t>
  </si>
  <si>
    <t xml:space="preserve">Mao de Obra                   </t>
  </si>
  <si>
    <t xml:space="preserve">H     </t>
  </si>
  <si>
    <t xml:space="preserve">Total de mão de obra                                                                 </t>
  </si>
  <si>
    <t xml:space="preserve">Material                      </t>
  </si>
  <si>
    <t>EMULSÃO ASFÁLTICA CATIÔNICA RR-2C P/ USO EM PAVIMENTAÇÃO ASFÁLTICA</t>
  </si>
  <si>
    <t xml:space="preserve">KG    </t>
  </si>
  <si>
    <t xml:space="preserve">M3    </t>
  </si>
  <si>
    <t xml:space="preserve">Total de material                                                            </t>
  </si>
  <si>
    <t xml:space="preserve">Preco de Custo                                                        </t>
  </si>
  <si>
    <t xml:space="preserve">Bonificacao                                                           </t>
  </si>
  <si>
    <t xml:space="preserve">Preco de Venda                                                        </t>
  </si>
  <si>
    <t>COMPACTADOR DE PNEUS AUTO-PROPULSOR DIESEL 76HP C/7 PNEUS-CI- PESO 5,5/20T INCL OPERADOR</t>
  </si>
  <si>
    <t>ESPALHADOR AGREG REBOCAVEL CAPAC RASA 1,3M3 PESO 860KG (CP) DIAM ROLO 127MM (5") - EXCL OPERADOR</t>
  </si>
  <si>
    <t>TRATOR DE PNEUS MOTOR DIESEL 61CV INCL OPERADOR (CP)</t>
  </si>
  <si>
    <t>DISTRIBUIDOR BETUME SOB PRESSAO GAS (CP) SOBRE CHASSIS CAMINHAO - INCL ESTE C/MOTORISTA</t>
  </si>
  <si>
    <t>INSTALACAO DE AQUECIMENTO E ARMAZENAMENTO DE ASFALTO (CP) EM 2 TANQUES DE 30000L CADA - INCL OPERADOR</t>
  </si>
  <si>
    <t>área de pavimentação</t>
  </si>
  <si>
    <t>PAVIMENTAÇÃO EM TSD</t>
  </si>
  <si>
    <t>Total Geral  - m</t>
  </si>
  <si>
    <t>R-01 (Pare)</t>
  </si>
  <si>
    <t>Lado=0,21m / Ø0,50m</t>
  </si>
  <si>
    <t>FAIXA DE RETENÇÃO</t>
  </si>
  <si>
    <t>LINHA DE APROXIMAÇÃO (AMARELA/BRANCA)</t>
  </si>
  <si>
    <t>ÁREA(m²)</t>
  </si>
  <si>
    <t>LETREIRO "PARE"</t>
  </si>
  <si>
    <t>PAVIMENTAÇÃO ASFÁLTICA E DRENAGEM DE VIAS PÚBLICAS</t>
  </si>
  <si>
    <t>QUADRO QUANTITATIVO DE MEIO-FIO COM SARJETA</t>
  </si>
  <si>
    <t>Área da terraplenagem</t>
  </si>
  <si>
    <t>3.6.1</t>
  </si>
  <si>
    <t>3.9.1</t>
  </si>
  <si>
    <t xml:space="preserve">QUADRO DEMONSTRATIVO DE TERRAPLENAGEM  </t>
  </si>
  <si>
    <t xml:space="preserve">QUADRO DEMONSTRATIVO DE PAVIMENTAÇÃO </t>
  </si>
  <si>
    <t>Ver Quantitativo de Transporte (Brita)</t>
  </si>
  <si>
    <t>Ver Quantitativo de Transporte (CM30 + RR-2C)</t>
  </si>
  <si>
    <t>ENSAIOS DE BASE ESTABILIZADA GRANULOMETRICAMENTE</t>
  </si>
  <si>
    <t xml:space="preserve">74021/006 </t>
  </si>
  <si>
    <t>Volume de Base</t>
  </si>
  <si>
    <t>ENSAIO DE VISCOSIDADE SAYBOLT - FUROL - MATERIAL BETUMINOSO</t>
  </si>
  <si>
    <t>74022/002</t>
  </si>
  <si>
    <t>1.5</t>
  </si>
  <si>
    <t>ENSAIO DE PENETRACAO - MATERIAL BETUMINOSO</t>
  </si>
  <si>
    <t>74022/001</t>
  </si>
  <si>
    <t>POÇO DE VISITA (Ø100)</t>
  </si>
  <si>
    <t>DUPLA</t>
  </si>
  <si>
    <t>Poço de Visita - Coletor de Ø100</t>
  </si>
  <si>
    <t>2.7</t>
  </si>
  <si>
    <t>2.8</t>
  </si>
  <si>
    <t>txkm</t>
  </si>
  <si>
    <t>3.3.3</t>
  </si>
  <si>
    <t>CREA 120.263.916-0</t>
  </si>
  <si>
    <t>PERIMETRO URBANO</t>
  </si>
  <si>
    <t>6.0</t>
  </si>
  <si>
    <t>QUANT.</t>
  </si>
  <si>
    <t>POÇO DE VISITA (Ø120)</t>
  </si>
  <si>
    <t>POÇO DE VISITA DUPLO</t>
  </si>
  <si>
    <t>2.9</t>
  </si>
  <si>
    <t>2.10</t>
  </si>
  <si>
    <t>4.10</t>
  </si>
  <si>
    <t>PREFEITURA MUNICIPAL DE MIRASSOL D' OESTE</t>
  </si>
  <si>
    <t xml:space="preserve">VALOR TOTAL </t>
  </si>
  <si>
    <t>DIAS</t>
  </si>
  <si>
    <t>DO ITEM - R$</t>
  </si>
  <si>
    <t>Repasse</t>
  </si>
  <si>
    <t>TOTAL GERAL</t>
  </si>
  <si>
    <t>R$</t>
  </si>
  <si>
    <t xml:space="preserve"> MENSAL</t>
  </si>
  <si>
    <t>Mês</t>
  </si>
  <si>
    <t xml:space="preserve"> ACUMULADO</t>
  </si>
  <si>
    <t>Acumulado</t>
  </si>
  <si>
    <t>SERVICOS TOPOGRAFICOS PARA PAVIMENTACAO, INCLUSIVE NOTA DE SERVICOS, ACOMPANHAMENTO E GREIDE</t>
  </si>
  <si>
    <t>60 DIAS</t>
  </si>
  <si>
    <t>120 DIAS</t>
  </si>
  <si>
    <t>DESCRIÇÃO</t>
  </si>
  <si>
    <t>UNIDADE</t>
  </si>
  <si>
    <t>CALCULO</t>
  </si>
  <si>
    <t>30 DIAS</t>
  </si>
  <si>
    <t>90 DIAS</t>
  </si>
  <si>
    <t>150 DIAS</t>
  </si>
  <si>
    <t>* ISS 5% sobre 40% de mão-de-obra</t>
  </si>
  <si>
    <t>180 DIAS</t>
  </si>
  <si>
    <t>IMPERIO</t>
  </si>
  <si>
    <t>4.4.4</t>
  </si>
  <si>
    <t>Lados</t>
  </si>
  <si>
    <t>Reaproveitamento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</si>
  <si>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</si>
  <si>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</si>
  <si>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</si>
  <si>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</si>
  <si>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</si>
  <si>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</si>
  <si>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</si>
  <si>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</si>
  <si>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</si>
  <si>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</si>
  <si>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COMPOSIÇÃO DE CUSTOS</t>
  </si>
  <si>
    <t>REFERENCIA:</t>
  </si>
  <si>
    <t>SINAPI - 72958</t>
  </si>
  <si>
    <t>PEDRA BRITADA N. 2 (19 A 38 MM) - SEM FRETE</t>
  </si>
  <si>
    <t>PEDRA BRITADA N. 0, OU PEDRISCO (4,8 A 9,5 MM) SEM FRETE</t>
  </si>
  <si>
    <t>SINAPI - 73760/001</t>
  </si>
  <si>
    <t>SERVENTE COM ENCARGOS COMPLEMENTARES</t>
  </si>
  <si>
    <t>ESCORAMENTO DE VALAS DESCONTINUO</t>
  </si>
  <si>
    <t>Ø 150cm</t>
  </si>
  <si>
    <t>PLANILHA CÁLCULO DE DRENAGEM - ESCAVAÇÃO E REATERRO</t>
  </si>
  <si>
    <t>RELAÇÃO DE RUAS BENEFICIADAS - DRENAGEM</t>
  </si>
  <si>
    <t>Volume Total (t)</t>
  </si>
  <si>
    <t>DMT  (Pav.)   (km)</t>
  </si>
  <si>
    <t>Momento Transporte (txkm)</t>
  </si>
  <si>
    <t>QUADRO DEMONSTRATIVO DE MATERIAL DE BETUMINOSO ( PAVIMENTADA)</t>
  </si>
  <si>
    <t>Volume de CM-30 (t)</t>
  </si>
  <si>
    <t>Volume RR-2C (t)</t>
  </si>
  <si>
    <t>CUBAÇÃO PAVIMENTAÇÃO</t>
  </si>
  <si>
    <t>VOLUME PARCIAL</t>
  </si>
  <si>
    <t>VOLUME ACUMULADO</t>
  </si>
  <si>
    <t>RUA / AVENIDA</t>
  </si>
  <si>
    <t>VOLUME DE ATERRO          (m³)</t>
  </si>
  <si>
    <t>VOLUME DE CORTE                (m³)</t>
  </si>
  <si>
    <t>TOTAL DE VOLUMES</t>
  </si>
  <si>
    <t>COMPENSAÇÃO</t>
  </si>
  <si>
    <t>CORTE</t>
  </si>
  <si>
    <t>ATERRO</t>
  </si>
  <si>
    <t>MATERIAL DE BOTA FORA</t>
  </si>
  <si>
    <t>QUADRO DEMONSTRATIVO MATERIAL DE BASE E SUB-BASE</t>
  </si>
  <si>
    <t>Altura de Sub-Base (m)</t>
  </si>
  <si>
    <t>Altura de Base (m)</t>
  </si>
  <si>
    <t>Volume de escavação MF (m³)</t>
  </si>
  <si>
    <t>Volume de Sub-Base (m³)</t>
  </si>
  <si>
    <t>Volume de Base (m³)</t>
  </si>
  <si>
    <t>Volume Total (m³)</t>
  </si>
  <si>
    <t>DMT (km)</t>
  </si>
  <si>
    <t>Ext. MF (m)</t>
  </si>
  <si>
    <t>Prof. (m)</t>
  </si>
  <si>
    <t>Largura (m)</t>
  </si>
  <si>
    <t>Volume (m³)</t>
  </si>
  <si>
    <t>KG</t>
  </si>
  <si>
    <t>COMPOSIÇÃO DE CUSTOS UNITÁRIOS</t>
  </si>
  <si>
    <t>Orçamento</t>
  </si>
  <si>
    <t>Brita 0 ou Pedrisco (kg/m²)</t>
  </si>
  <si>
    <t>Volume de Brita 0 (t)</t>
  </si>
  <si>
    <t>RR - 2C (Kg/m²)</t>
  </si>
  <si>
    <t>CM-30 (Kg/m²)</t>
  </si>
  <si>
    <t>Composição do BDI conforme Acórdão 2622/2013 do TCU</t>
  </si>
  <si>
    <t>3.2.5</t>
  </si>
  <si>
    <t>Ver Planilha de Base e SubBase</t>
  </si>
  <si>
    <t>RECURSO</t>
  </si>
  <si>
    <t>TERRAPLENAGEM</t>
  </si>
  <si>
    <t>QUADRO QUANTITATIVO DE CALÇADA</t>
  </si>
  <si>
    <t>ASFALTO DILUIDO DE PETROLEO CM-30</t>
  </si>
  <si>
    <t>LR-01</t>
  </si>
  <si>
    <t>SERVIÇO:</t>
  </si>
  <si>
    <t>POCO VISITA DUPLO 1,90X2,8X1,50 M COLETOR D=1,2M PAREDE E=20CM BASE CONC FCK=15MPA</t>
  </si>
  <si>
    <t>SINFRA SETEMBRO 2012</t>
  </si>
  <si>
    <t>73990/001</t>
  </si>
  <si>
    <t>ARMACAO ACO CA-50 P/1,0M3 DE CONCRETO</t>
  </si>
  <si>
    <t xml:space="preserve">Total de mão de obra                                                        </t>
  </si>
  <si>
    <t>BARRA LISA TRACO 1:3 (CIMENTO E AREIA MEDIA NAO PENEIRADA), INCLUSO ADITIVO IMPERMEABILIZANTE, ESPESSURA 0,5CM, PREPARO MANUAL DA ARGAMASSA</t>
  </si>
  <si>
    <t>ESPARGIDOR DE ASFALTO PRESSURIZADO, TANQUE 6 M3 COM ISOLAÇÃO TÉRMICA, AQUECIDO COM 2 MAÇARICOS, COM BARRA ESPARGIDORA 3,60 M, MONTADO SOBRE CAMINHÃO  TOCO, PBT 14.300 KG, POTÊNCIA 185 CV - CHP DIURNO. AF_08/2015</t>
  </si>
  <si>
    <t>MESTRE DE OBRAS COM ENCARGOS COMPLEMENTARES</t>
  </si>
  <si>
    <t>FORMA PARA ESTRUTURAS DE CONCRETO (PILAR, VIGA E LAJE) EM CHAPA DE MADEIRA COMPENSADA PLASTIFICADA, DE 1,10 X 2,20, ESPESSURA = 12 MM, 05 UTILIZACOES. (FABRICACAO, MONTAGEM E DESMONTAGEM - EXCLUSIVE ESCORAMENTO)</t>
  </si>
  <si>
    <t>CONCRETO FCK=15MPA (1:2,5:3) , INCLUIDO PREPARO MECANICO, LANCAMENTO E ADENSAMENTO.</t>
  </si>
  <si>
    <t>ALVENARIA EMBASAMENTO TIJOLO CERAMICO FURADO 10X20X20 CM</t>
  </si>
  <si>
    <t xml:space="preserve">CHAPISCO APLICADO TANTO EM PILARES E VIGAS DE CONCRETO COMO EM ALVENARIA DE FACHADA COM PRESENÇA DE VÃOS, COM ROLO PARA TEXTURA ACRÍLICA. ARGAMASSA TRAÇO 1:4 E EMULSÃO POLIMÉRICA (ADESIVO) COM PREPARO EM MISTURADOR 300 KG. </t>
  </si>
  <si>
    <t>Cód. SINAPI</t>
  </si>
  <si>
    <t>QUADRO QUANTITATIVO DE PISO TATIL</t>
  </si>
  <si>
    <t>Quant Parcial (und)</t>
  </si>
  <si>
    <t>Cruzamentos / Rampas PNE</t>
  </si>
  <si>
    <t>V.Total(R$)</t>
  </si>
  <si>
    <t>MATERIAIS</t>
  </si>
  <si>
    <t>Und</t>
  </si>
  <si>
    <t>MAO DE OBRA</t>
  </si>
  <si>
    <t>TOTAL DO ITEM &gt;&gt;&gt;</t>
  </si>
  <si>
    <t>ENGENHEIRO CIVIL DE OBRA PLENO COM ENCARGOS COMPLEMENTARES</t>
  </si>
  <si>
    <t>CHEFE DE ESCRITORIO - AUXILIAR DE ESCRITORIO COM ENCARGOS COMPLEMENTARES</t>
  </si>
  <si>
    <t>DATA:</t>
  </si>
  <si>
    <t>VOLUME DE ATERRO                          (m³)</t>
  </si>
  <si>
    <t>VOLUME DE CORTE                         (m³)</t>
  </si>
  <si>
    <t>COMPOSIÇÃO DE CUSTO UNITÁRIO - POÇO DE VISITA</t>
  </si>
  <si>
    <t>MÃO DE OBRA</t>
  </si>
  <si>
    <t>LIMPA RODAS</t>
  </si>
  <si>
    <t>Extensão (m)</t>
  </si>
  <si>
    <t>TRIBUTOS (ISS 2%*; PIS 0,65; COFINS 3%, CPRB 4,5% )</t>
  </si>
  <si>
    <t>AJUDANTE DE PEDREIRO COM ENCARGOS COMPLEMENTARES</t>
  </si>
  <si>
    <t>PEDREIRO COM ENCARGOS COMPLEMENTARES</t>
  </si>
  <si>
    <t>Area Total (m²)</t>
  </si>
  <si>
    <t>TRECHO 01</t>
  </si>
  <si>
    <t>CP</t>
  </si>
  <si>
    <t>CONV</t>
  </si>
  <si>
    <t>3.2.6</t>
  </si>
  <si>
    <t>OBRAS COMPLEMENTARES</t>
  </si>
  <si>
    <t>Ext. (m)</t>
  </si>
  <si>
    <t>Ext. Parcial (m)</t>
  </si>
  <si>
    <t>Ext. Total (m)</t>
  </si>
  <si>
    <t xml:space="preserve">PREÇO UNIT        SEM BDI   </t>
  </si>
  <si>
    <t>VALOR PARCIAL              COM BDI</t>
  </si>
  <si>
    <t>SINAPI</t>
  </si>
  <si>
    <t>SICRO</t>
  </si>
  <si>
    <t>ÁREA (m²):</t>
  </si>
  <si>
    <t>Largura           (m)</t>
  </si>
  <si>
    <t>Área                (m²)</t>
  </si>
  <si>
    <t>INVESTIMENTO</t>
  </si>
  <si>
    <t>UNIÃO</t>
  </si>
  <si>
    <t>CONTRA P.</t>
  </si>
  <si>
    <t>OUTROS</t>
  </si>
  <si>
    <t>Espessura  (m²)</t>
  </si>
  <si>
    <t xml:space="preserve">Total Geral </t>
  </si>
  <si>
    <t>Totais Parciais</t>
  </si>
  <si>
    <t>Largura     (m)</t>
  </si>
  <si>
    <t>Extensão</t>
  </si>
  <si>
    <t>Quant / m  (und)</t>
  </si>
  <si>
    <t>Extensão MF           (m)</t>
  </si>
  <si>
    <t>Quant. Parcial  (und)</t>
  </si>
  <si>
    <t>Quant Piso / Rampa (und)</t>
  </si>
  <si>
    <t>Quant. Rampa   (und)</t>
  </si>
  <si>
    <t>Area por Piso     (m²)</t>
  </si>
  <si>
    <t>Area     Total        (m²)</t>
  </si>
  <si>
    <t>Quant.     Total        (und)</t>
  </si>
  <si>
    <t>EXECUÇÃO DE DEPÓSITO EM CANTEIRO DE OBRA EM CHAPA DE MADEIRA COMPENSADA, NÃO INCLUSO MOBILIÁRIO. AF_04/2016</t>
  </si>
  <si>
    <t>EXECUÇÃO DE SANITÁRIO E VESTIÁRIO EM CANTEIRO DE OBRA EM CHAPA DE MADEIRA COMPENSADA, NÃO INCLUSO MOBILIÁRIO. AF_02/2016</t>
  </si>
  <si>
    <t>1,5*2,5 x 2und</t>
  </si>
  <si>
    <t>GUIA (MEIO-FIO) E SARJETA CONJUGADOS DE CONCRETO, MOLDADA IN LOCO EM TRECHO RETO COM EXTRUSORA, GUIA 13 CM BASE X 22 CM ALTURA, SARJETA 30CM BASE X 8,5 CM ALTURA. AF_06/2016</t>
  </si>
  <si>
    <t>Ver Planilha de Calçada                        (Volume de Calçada)</t>
  </si>
  <si>
    <t>Ver Planilha de Calçada                        (Area de Calçada)</t>
  </si>
  <si>
    <t>EXECUÇÃO DE PASSEIO (CALÇADA) OU PISO DE CONCRETO COM CONCRETO MOLDADO IN LOCO, FEITO EM OBRA, ACABAMENTO CONVENCIONAL, NÃO ARMADO. AF_07/2016</t>
  </si>
  <si>
    <t>01 para cada Rua</t>
  </si>
  <si>
    <t>ESPARGIDOR DE ASFALTO PRESSURIZADO, TANQUE 6 M3 COM ISOLAÇÃO TÉRMICA, AQUECIDO COM 2 MAÇARICOS, COM BARRA ESPARGIDORA 3,60 M, MONTADO SOBRE CAMINHÃO  TOCO, PBT 14.300 KG, POTÊNCIA 185 CV - CHI DIURNO. AF_08/2015</t>
  </si>
  <si>
    <t>TANQUE DE ASFALTO ESTACIONÁRIO COM SERPENTINA, CAPACIDADE 30.000 L - CHP DIURNO. AF_06/2014</t>
  </si>
  <si>
    <t>Área Total              (m²)</t>
  </si>
  <si>
    <t>LASTRO DE AREIA MEDIA</t>
  </si>
  <si>
    <t>REATERRO MECANIZADO DE VALA COM RETROESCAVADEIRA (CAPACIDADE DA CAÇAMBA DA RETRO: 0,26 M³ / POTÊNCIA: 88 HP), LARGURA DE 0,8 A 1,5 M, PROFUNDIDADE ATÉ 1,5 M, COM SOLO (SEM SUBSTITUIÇÃO) DE 1ª CATEGORIA EM LOCAIS COM BAIXO NÍVEL DE INTERFERÊNCIA. AF_04/2016</t>
  </si>
  <si>
    <t>REATERRO MECANIZADO DE VALA COM RETROESCAVADEIRA (CAPACIDADE DA CAÇAMBA DA RETRO: 0,26 M³ / POTÊNCIA: 88 HP), LARGURA DE 0,8 A 1,5 M, PROFUNDIDADE DE 1,5 A 3,0 M, COM SOLO (SEM SUBSTITUIÇÃO) DE 1ª CATEGORIA EM LOCAIS COM BAIXO NÍVEL DE INTERFERÊNCIA. AF_04/2016</t>
  </si>
  <si>
    <t>TUBO DE CONCRETO PARA REDES COLETORAS DE ÁGUAS PLUVIAIS, DIÂMETRO DE 1000 MM, JUNTA RÍGIDA, INSTALADO EM LOCAL COM BAIXO NÍVEL DE INTERFERÊNCIAS - FORNECIMENTO E ASSENTAMENTO. AF_12/2015</t>
  </si>
  <si>
    <t>1.6</t>
  </si>
  <si>
    <t>1.7</t>
  </si>
  <si>
    <t>1.8</t>
  </si>
  <si>
    <t>1.9</t>
  </si>
  <si>
    <t>1.10</t>
  </si>
  <si>
    <t>1.11</t>
  </si>
  <si>
    <t>1.12</t>
  </si>
  <si>
    <t>2.11</t>
  </si>
  <si>
    <t>2.12</t>
  </si>
  <si>
    <t>4.11</t>
  </si>
  <si>
    <t>4.12</t>
  </si>
  <si>
    <t>DISPOSITIVO</t>
  </si>
  <si>
    <t>(A) Área da Seção</t>
  </si>
  <si>
    <t>(V1) Volume do Dispositivo</t>
  </si>
  <si>
    <t>(V2)    Volume de Escavação</t>
  </si>
  <si>
    <t>Reaterro=V2-V1               ( m³ )</t>
  </si>
  <si>
    <t xml:space="preserve">B                 largura </t>
  </si>
  <si>
    <t xml:space="preserve">H                  altura </t>
  </si>
  <si>
    <t>L              comprim.</t>
  </si>
  <si>
    <t>5.11</t>
  </si>
  <si>
    <t>5.12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</si>
  <si>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</si>
  <si>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</si>
  <si>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</si>
  <si>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</si>
  <si>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</si>
  <si>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</si>
  <si>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</si>
  <si>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</si>
  <si>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</si>
  <si>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</si>
  <si>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</si>
  <si>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</si>
  <si>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7.0</t>
  </si>
  <si>
    <t>REAPROVEITAMENTO</t>
  </si>
  <si>
    <t>item</t>
  </si>
  <si>
    <t>chamine</t>
  </si>
  <si>
    <t>ESCAVACAO DE VALA NAO ESCORADA EM MATERIAL DE 1A CATEGORIA COM PROFUNDIDADE DE 1,5 ATE 3M</t>
  </si>
  <si>
    <t xml:space="preserve">ESCAVACAO DE VALA NAO ESCORADA EM MATERIAL 1A CATEGORIA, PROFUNDIDADE ATE 1,5 M </t>
  </si>
  <si>
    <t>REATERRO MECANIZADO DE VALA PROFUNDIDADE DE 1,5 A 3,0 M</t>
  </si>
  <si>
    <t>REATERRO MECANIZADO DE VALA  PROFUNDIDADE ATÉ 1,5 M</t>
  </si>
  <si>
    <t>PISO TÁTIL DIRECIONAL E/OU ALERTA, DE CONCRETO      - 25X25 cm</t>
  </si>
  <si>
    <t>ARGAMASSA COLANTE AC-II</t>
  </si>
  <si>
    <t>Kg</t>
  </si>
  <si>
    <t>REJUNTE COLORIDO, CIMENTICIO</t>
  </si>
  <si>
    <t>DATA</t>
  </si>
  <si>
    <t>EMPRESA</t>
  </si>
  <si>
    <t>CNPJ</t>
  </si>
  <si>
    <t>ESCAVAÇÃO MECANIZADA DE VALA COM PROF. ATÉ 1,5 M(MÉDIA ENTRE MONTANTE E JUSANTE/UMA COMPOSIÇÃO POR TRECHO), COM ESCAVADEIRA HIDRÁULICA (0,8M3/111 HP), LARG. DE 1,5M A 2,5 M, EM SOLO DE 1A CATEGORIA, LOCAIS COM BAIXO NÍVEL DE INTERFERÊNCIA. AF_01/2015</t>
  </si>
  <si>
    <t>ESCAVAÇÃO MECANIZADA DE VALA COM PROF. MAIOR QUE 1,5 M E ATÉ 3,0 M(MÉDIA ENTRE MONTANTE E JUSANTE/UMA COMPOSIÇÃO POR TRECHO), COM ESCAVADEIRA HIDRÁULICA (0,8 M3/111 HP), LARG. MENOR QUE 1,5 M, EM SOLO DE 1A CATEGORIA, LOCAIS COM BAIXO NÍVEL DE INTERFERÊNCIA. AF_01/2015</t>
  </si>
  <si>
    <t>LASTRO DE VALA COM PREPARO DE FUNDO, LARGURA MENOR QUE 1,5 M, COM CAMADA DE AREIA, LANÇAMENTO MANUAL, EM LOCAL COM NÍVEL BAIXO DE INTERFERÊNCIA. AF_06/2016</t>
  </si>
  <si>
    <t>BOCA DE LOBO EM ALVENARIA TIJOLO MACICO, REVESTIDA C/ ARGAMASSA DE CIMENTO E AREIA 1:3, SOBRE LASTRO DE CONCRETO 10CM E TAMPA DE CONCRETO ARMADO</t>
  </si>
  <si>
    <t>4.1.2</t>
  </si>
  <si>
    <t>4.1.3</t>
  </si>
  <si>
    <t>ESCORAMENTO DE VALA, TIPO DESCONTÍNUO, COM PROFUNDIDADE DE 0 A 1,5 M,LARGURA MAIOR OU IGUAL A 1,5 M E MENOR QUE 2,5 M, EM LOCAL COM NÍVEL BAIXO DE INTERFERÊNCIA. AF_06/2016</t>
  </si>
  <si>
    <t>1.13</t>
  </si>
  <si>
    <t>Poço de Visita - Coletor de Ø120</t>
  </si>
  <si>
    <t>2.13</t>
  </si>
  <si>
    <t>6.13</t>
  </si>
  <si>
    <t>5.13</t>
  </si>
  <si>
    <t>4.13</t>
  </si>
  <si>
    <t>CONVERSÃO M³/T</t>
  </si>
  <si>
    <t>DMT DE BOTA FORA (Km)</t>
  </si>
  <si>
    <t>MATERIAL DE BOTA FORA (TxKm)</t>
  </si>
  <si>
    <t>SEGURO E  GARANTIA</t>
  </si>
  <si>
    <t>=5,0X2,5 x 02und (1 em cada Trecho)</t>
  </si>
  <si>
    <t>Coordenada Inicial</t>
  </si>
  <si>
    <t>Latitude</t>
  </si>
  <si>
    <t>Longitude</t>
  </si>
  <si>
    <t>Coordenada Final</t>
  </si>
  <si>
    <t>Logradouros</t>
  </si>
  <si>
    <t xml:space="preserve">Inicial </t>
  </si>
  <si>
    <t>Final</t>
  </si>
  <si>
    <t>QUADRO DE COORDENADAS</t>
  </si>
  <si>
    <t>AREA</t>
  </si>
  <si>
    <t>ALTURA DE CORTE</t>
  </si>
  <si>
    <t>ADMINISTRAÇÃO LOCAL DA OBRA</t>
  </si>
  <si>
    <t>Cod. Ref.</t>
  </si>
  <si>
    <t>Descrição</t>
  </si>
  <si>
    <t>Memoria de Calculo</t>
  </si>
  <si>
    <t>TOTAL DA COMPOSIÇÃO</t>
  </si>
  <si>
    <t>Ver Planilha de Composição</t>
  </si>
  <si>
    <t>Ver Planilha de Cubação                    Material de Corte</t>
  </si>
  <si>
    <t>Ver Planilha de Cubação                 Transporte de Bota Fora</t>
  </si>
  <si>
    <t>M2</t>
  </si>
  <si>
    <t>M3</t>
  </si>
  <si>
    <t>M</t>
  </si>
  <si>
    <t>M3xKM</t>
  </si>
  <si>
    <t>SINALIZACAO HORIZONTAL COM TINTA RETRORREFLETIVA A BASE DE RESINA ACRILICA COM MICROESFERAS DE VIDRO</t>
  </si>
  <si>
    <t>73916/002</t>
  </si>
  <si>
    <t>PLACA ESMALTADA PARA IDENTIFICAÇÃO NR DE RUA, DIMENSÕES 45X25CM</t>
  </si>
  <si>
    <t>REFERÊNCIA: ORSE / 9418</t>
  </si>
  <si>
    <t>COTAÇÕES DE PREÇOS</t>
  </si>
  <si>
    <t>REFERÊNCIA: ORSE / 10808</t>
  </si>
  <si>
    <t>SARRAFO DE MADEIRA NAO APARELHADA *2,5 X 7* CM, MACARANDUBA, ANGELIM OU EQUIVALENTE DA REGIAO</t>
  </si>
  <si>
    <t>PECA DE MADEIRA NAO APARELHADA *7,5 X 7,5* CM (3 X 3 ") MACARANDUBA, ANGELIM OU EQUIVALENTE DA REGIAO</t>
  </si>
  <si>
    <t>TINTA ESMALTE SINTETICO PREMIUM FOSCO</t>
  </si>
  <si>
    <t>L</t>
  </si>
  <si>
    <t>CARPINTEIRO DE FORMAS COM ENCARGOS COMPLEMENTARES</t>
  </si>
  <si>
    <t>PINTOR COM ENCARGOS COMPLEMENTARES</t>
  </si>
  <si>
    <t>TOTAL DA COMPOSIÇÃO&gt;&gt;&gt;</t>
  </si>
  <si>
    <t>CONFECÇÃO DE SUPORTE E TRAVESSA PARA PLACA DE SINALIZAÇÃO</t>
  </si>
  <si>
    <t>Extensão total do meio fio Com sarjeta</t>
  </si>
  <si>
    <t>QUADRO QUANTITATIVO DE MEIO-FIO SEM SARJETA</t>
  </si>
  <si>
    <t>Extensão Total (m)</t>
  </si>
  <si>
    <t>ENGº CIVIL CREA: 120.263.916-0</t>
  </si>
  <si>
    <t>REFERÊNCIA: SINAPI / 73916/002</t>
  </si>
  <si>
    <t>BUCHA DE NYLON SEM ABA S6, COM PARAFUSO DE 4,20 X 40 MM EM ACO ZINCADO COM ROSCA SOBERBA, CABECA CHATA E FENDA PHILLIPS</t>
  </si>
  <si>
    <t>UN</t>
  </si>
  <si>
    <t>PLACA DE SINALIZACAO EM CHAPA DE ACO NUM 16 COM PINTURA REFLETIVA</t>
  </si>
  <si>
    <t>PLACA DE SINALIZACAO EM CHAPA DE ACO NUM 16 COM PINTURA REFLETIVA - FORNECIMENTO E INSTALAÇÃO</t>
  </si>
  <si>
    <t>PLACAS DE SINALIZAÇÃO VERTICAL - REGULAMENTAIS</t>
  </si>
  <si>
    <t>PLACAS DE SINALIZAÇÃO VERTICAL - IDENTIFICAÇÃO DE RUAS</t>
  </si>
  <si>
    <t>SUPORTE PARA PLACA DE SINALIZAÇÃO VERTICAL</t>
  </si>
  <si>
    <t>SINALIZAÇÃO HORIZONTAL - PINTURA ACRILICA</t>
  </si>
  <si>
    <t>COMPOSIÇÃO 01</t>
  </si>
  <si>
    <t>COMPOSIÇÃO 02</t>
  </si>
  <si>
    <t>COMPOSIÇÃO 03</t>
  </si>
  <si>
    <t>COMPOSIÇÃO 04</t>
  </si>
  <si>
    <t>COMPOSIÇÃO 05</t>
  </si>
  <si>
    <t>COMPOSIÇÃO 06</t>
  </si>
  <si>
    <t>ADMINISTRAÇÃO DE CANTEIRO DE OBRA</t>
  </si>
  <si>
    <t>CAMINHÃO BASCULANTE 10 M3, TRUCADO, POTÊNCIA 230 CV, INCLUSIVE CAÇAMBA METÁLICA, COM DISTRIBUIDOR DE AGREGADOS ACOPLADO - CHP DIURNO. AF_02/2017</t>
  </si>
  <si>
    <t xml:space="preserve">5 x 6 </t>
  </si>
  <si>
    <t>PRISMA                                                                                                                     ENGENHARIA</t>
  </si>
  <si>
    <t>45 horas / mês</t>
  </si>
  <si>
    <t>25 horas / mês</t>
  </si>
  <si>
    <t>TRANSPORTE COM CAMINHÃO BASCULANTE DE 10 M3, EM VIA URBANA EM REVESTIMENTO PRIMÁRIO (UNIDADE: M3XKM). AF_04/2016 - BOTA FORA(2,0KM)</t>
  </si>
  <si>
    <t>ESCAVACAO MECANICA, A CEU ABERTO, EM MATERIAL DE 1A CATEGORIA, COM ESCAVADEIRA HIDRAULICA, CAPACIDADE DE 0,78 M3</t>
  </si>
  <si>
    <t>EXECUÇÃO E COMPACTAÇÃO DE BASE E OU SUB BASE COM SOLO ESTABILIZADO GRANULOMETRICAMENTE - EXCLUSIVE ESCAVAÇÃO, CARGA E TRANSPORTE E SOLO. AF_09/2017</t>
  </si>
  <si>
    <t>4720</t>
  </si>
  <si>
    <t>PEDRA BRITADA N. 0, OU PEDRISCO (4,8 A 9,5 MM) POSTO PEDREIRA/FORNECEDOR, SEM FRETE</t>
  </si>
  <si>
    <t>REFERENCIA: SINAPI - 96401</t>
  </si>
  <si>
    <t>5839</t>
  </si>
  <si>
    <t>VASSOURA MECÂNICA REBOCÁVEL COM ESCOVA CILÍNDRICA, LARGURA ÚTIL DE VARRIMENTO DE 2,44 M - CHP DIURNO. AF_06/2014</t>
  </si>
  <si>
    <t>91486</t>
  </si>
  <si>
    <t>89035</t>
  </si>
  <si>
    <t>TRATOR DE PNEUS, POTÊNCIA 85 CV, TRAÇÃO 4X4, PESO COM LASTRO DE 4.675 KG - CHP DIURNO. AF_06/2014</t>
  </si>
  <si>
    <t>89036</t>
  </si>
  <si>
    <t>TRATOR DE PNEUS, POTÊNCIA 85 CV, TRAÇÃO 4X4, PESO COM LASTRO DE 4.675 KG - CHI DIURNO. AF_06/2014</t>
  </si>
  <si>
    <t>BLOCOS BRASIL</t>
  </si>
  <si>
    <t>TELEFONE</t>
  </si>
  <si>
    <t>3663-3778</t>
  </si>
  <si>
    <t>22.229.537/0001-60</t>
  </si>
  <si>
    <t>3055-1510</t>
  </si>
  <si>
    <t>PANTANAL INDUSTRIA DE PISOS</t>
  </si>
  <si>
    <t>VERDÃO</t>
  </si>
  <si>
    <t>37.432.150/0001-84</t>
  </si>
  <si>
    <t>3314-1000</t>
  </si>
  <si>
    <t>SUPORTE PARA PLACA DE IDENTIFICAÇÃO DE RUAS</t>
  </si>
  <si>
    <t>PLACAS DE INDICAÇÃO D RUA ( 2 Placas a cada 1 Suporte)</t>
  </si>
  <si>
    <t>0,45x0,25m</t>
  </si>
  <si>
    <t>SINALIZAÇÃO VIÁRIA - HORIZONTAL E VERTICAL</t>
  </si>
  <si>
    <t>IDENTIFICAÇÃO DE VIAS</t>
  </si>
  <si>
    <t>50 horas / mês</t>
  </si>
  <si>
    <t>Momento Transporte    Não Pavim.                       ( m³xkm )</t>
  </si>
  <si>
    <t>Conversão  T / m³</t>
  </si>
  <si>
    <t>Momento Transporte (m³xkm)</t>
  </si>
  <si>
    <t>ITENS COMPONENTE DO BDI - DESONERADO</t>
  </si>
  <si>
    <t>ITENS COMPONENTE DO BDI - NÃO DESONERADO</t>
  </si>
  <si>
    <t>TRIBUTOS (ISS 2%*; PIS 0,65; COFINS 3%, )</t>
  </si>
  <si>
    <t>7030</t>
  </si>
  <si>
    <t>83362</t>
  </si>
  <si>
    <t>0,0004000</t>
  </si>
  <si>
    <t>96035</t>
  </si>
  <si>
    <t>0,0005000</t>
  </si>
  <si>
    <t>96036</t>
  </si>
  <si>
    <t>CAMINHÃO BASCULANTE 10 M3, TRUCADO, POTÊNCIA 230 CV, INCLUSIVE CAÇAMBA METÁLICA, COM DISTRIBUIDOR DE AGREGADOS ACOPLADO - CHI DIURNO. AF_02/2017</t>
  </si>
  <si>
    <t>96155</t>
  </si>
  <si>
    <t>TRATOR DE PNEUS COM POTÊNCIA DE 85 CV, TRAÇÃO 4X4, COM VASSOURA MECÂNICA ACOPLADA - CHI DIURNO. AF_02/2017</t>
  </si>
  <si>
    <t>96157</t>
  </si>
  <si>
    <t>TRATOR DE PNEUS COM POTÊNCIA DE 85 CV, TRAÇÃO 4X4, COM VASSOURA MECÂNICA ACOPLADA - CHP DIURNO. AF_03/2017</t>
  </si>
  <si>
    <t>0,0007000</t>
  </si>
  <si>
    <t>96463</t>
  </si>
  <si>
    <t>ROLO COMPACTADOR DE PNEUS, ESTATICO, PRESSAO VARIAVEL, POTENCIA 110 HP, PESO SEM/COM LASTRO 10,8/27 T, LARGURA DE ROLAGEM 2,30 M - CHP DIURNO. AF_06/2017</t>
  </si>
  <si>
    <t>0,0010000</t>
  </si>
  <si>
    <t>96464</t>
  </si>
  <si>
    <t>ROLO COMPACTADOR DE PNEUS, ESTATICO, PRESSAO VARIAVEL, POTENCIA 110 HP, PESO SEM/COM LASTRO 10,8/27 T, LARGURA DE ROLAGEM 2,30 M - CHI DIURNO. AF_06/2017</t>
  </si>
  <si>
    <t>3,1000000</t>
  </si>
  <si>
    <t>0,0055000</t>
  </si>
  <si>
    <t>4721</t>
  </si>
  <si>
    <t>PEDRA BRITADA N. 1 (9,5 a 19 MM) POSTO PEDREIRA/FORNECEDOR, SEM FRETE</t>
  </si>
  <si>
    <t>0,0115000</t>
  </si>
  <si>
    <t>4741</t>
  </si>
  <si>
    <t>PO DE PEDRA (POSTO PEDREIRA/FORNECEDOR, SEM FRETE)</t>
  </si>
  <si>
    <t>0,0062000</t>
  </si>
  <si>
    <t>0,0027000</t>
  </si>
  <si>
    <t>0,0026000</t>
  </si>
  <si>
    <t>0,0024000</t>
  </si>
  <si>
    <t>0,0021000</t>
  </si>
  <si>
    <t>0,0250000</t>
  </si>
  <si>
    <t>REFERENCIA: SINAPI - 97807</t>
  </si>
  <si>
    <t xml:space="preserve">CONSTRUÇÃO DE PAVIMENTO COM TRATAMENTO SUPERFICIAL DUPLO, COM EMULSÃO ASFÁLTICA RR-2C, COM CAPA SELANTE. </t>
  </si>
  <si>
    <t>ADMINISTRAÇÃO LOCAL DE OBRA</t>
  </si>
  <si>
    <t>Brita 1   (kg/m²)</t>
  </si>
  <si>
    <t>Volume de Brita 1 (t)</t>
  </si>
  <si>
    <t>EXECUÇÃO DE IMPRIMAÇÃO COM ASFALTO DILUÍDO CM-30</t>
  </si>
  <si>
    <t>DIVERSAS RUAS - PERIMETRO URBANO</t>
  </si>
  <si>
    <t>PREFEITURA MUNICIPAL DE CLAUDIA</t>
  </si>
  <si>
    <t>RUA RODRIGUES ALVES</t>
  </si>
  <si>
    <t>RUA AFONSO PENA</t>
  </si>
  <si>
    <t>RUA FLORIANO PEIXOTO</t>
  </si>
  <si>
    <t>RUA HERMES DA FONSECA</t>
  </si>
  <si>
    <t>RUA EPITÁCIO PESSOA</t>
  </si>
  <si>
    <t>RUA CAMPOS SALES</t>
  </si>
  <si>
    <t>RUA FREDERICO CAMPOS</t>
  </si>
  <si>
    <t>RUA LUIZ DA COSTA RIBEIRO</t>
  </si>
  <si>
    <t>RUA PROF. JOSÉ MAGNO</t>
  </si>
  <si>
    <t>RUA VENCESLAU BRAS</t>
  </si>
  <si>
    <t>LR-02</t>
  </si>
  <si>
    <t>RUA DEODÓRO DA FONSECA</t>
  </si>
  <si>
    <t>RUA ARTUR BERNARDES</t>
  </si>
  <si>
    <t>BACIA 01</t>
  </si>
  <si>
    <t>BACIA 02</t>
  </si>
  <si>
    <t>RUA DOM AQUINO CORREIA</t>
  </si>
  <si>
    <t>RUA ANTONIO FRANCISCO DE AZEVEDO</t>
  </si>
  <si>
    <t>3.3.4</t>
  </si>
  <si>
    <t>(COMPOSIÇÃO REPRESENTATIVA) POÇO DE VISITA CIRCULAR PARA ESGOTO, EM CONCRETO PRÉ-MOLDADO, DIÂMETRO INTERNO = 1,0 M, PROFUNDIDADE DE 1,50 A 2,00 M, INCLUINDO TAMPÃO DE FERRO FUNDIDO, DIÂMETRO DE 60 CM. AF_04/2018</t>
  </si>
  <si>
    <t>(COMPOSIÇÃO REPRESENTATIVA) POÇO DE VISITA CIRCULAR PARA ESGOTO, EM CONCRETO PRÉ-MOLDADO, DIÂMETRO INTERNO = 1,0 M, PROFUNDIDADE DE 2,00 A 2,50 M, INCLUINDO TAMPÃO DE FERRO FUNDIDO, DIÂMETRO DE 60 CM. AF_04/2018</t>
  </si>
  <si>
    <t>ANP - 09 / 2018</t>
  </si>
  <si>
    <t>QUADRO DEMONSTRATIVO DE MATERIAL PÉTREO - PAVIMENTAÇÃO</t>
  </si>
  <si>
    <t>QUADRO DEMONSTRATIVO DE MATERIAL PÉTREO - OBRAS COMPLEMENTARES</t>
  </si>
  <si>
    <t>Pó de Pedra (kg/m²)</t>
  </si>
  <si>
    <t>CALÇADA</t>
  </si>
  <si>
    <t>Brita 1   (kg)</t>
  </si>
  <si>
    <t>Brita 0 ou Pedrisco (kg)</t>
  </si>
  <si>
    <t>Pó de Pedra (kg)</t>
  </si>
  <si>
    <t>TRANSPORTE DE MATERIAL ASFALTICO, COM CAMINHÃO COM CAPACIDADE DE 30000L EM RODOVIA PAVIMENTADA PARA DISTÂNCIAS MÉDIAS DE TRANSPORTE SUPERIORES A 100 KM. AF_02/2016 - 570 KM - CUIABA</t>
  </si>
  <si>
    <t>Ver Planilha de Base e SubBase              DMT NÃO PAV.</t>
  </si>
  <si>
    <t>Ver Planilha de Base e SubBase              DMT PAV.</t>
  </si>
  <si>
    <t>Momento Transporte   Pavim.                       ( m³xkm )</t>
  </si>
  <si>
    <t>PAVIMENTAÇÃO ASFALTICA E DRENAGEM DE AGUAS PLUVIAIS</t>
  </si>
  <si>
    <t>TRANSPORTE COM CAMINHÃO BASCULANTE DE 14 M3, EM VIA URBANA EM REVESTIMENTO PRIMÁRIO (UNIDADE: M3XKM). AF_04/2016 - JAZIDA (20,0KM)</t>
  </si>
  <si>
    <t>TRANSPORTE COM CAMINHÃO BASCULANTE DE 14 M3, EM VIA URBANA PAVIMENTADA, DMT ACIMA DE 30 KM (UNIDADE: M3XKM). AF_04/2016 - JAZIDA (27,0KM)</t>
  </si>
  <si>
    <t>TRANSPORTE COM CAMINHÃO BASCULANTE DE 14 M3, EM VIA URBANA PAVIMENTADA, DMT ACIMA DE 30 KM (UNIDADE: TXKM). AF_04/2016  220 KM - COLIDER</t>
  </si>
  <si>
    <t>Ext Total (m)</t>
  </si>
  <si>
    <t>Largura  (m)</t>
  </si>
  <si>
    <t>Area      (m²)</t>
  </si>
  <si>
    <t>4.1.1</t>
  </si>
  <si>
    <t>4.1.4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</si>
  <si>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</si>
  <si>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</si>
  <si>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</si>
  <si>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</si>
  <si>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</si>
  <si>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</si>
  <si>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</si>
  <si>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</si>
  <si>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</si>
  <si>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</si>
  <si>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</si>
  <si>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4.3.1</t>
  </si>
  <si>
    <t>4.3.2</t>
  </si>
  <si>
    <t>4.4.1</t>
  </si>
  <si>
    <t>4.4.2</t>
  </si>
  <si>
    <t>4.4.3</t>
  </si>
  <si>
    <t>4.5.1</t>
  </si>
  <si>
    <t>4.5.2</t>
  </si>
  <si>
    <t>TUBO DE CONCRETO PARA REDES COLETORAS DE ÁGUAS PLUVIAIS, DIÂMETRO DE 800 MM, JUNTA RÍGIDA, INSTALADO EM LOCAL COM ALTO NÍVEL DE INTERFERÊNCIAS - FORNECIMENTO E ASSENTAMENTO. AF_12/2015</t>
  </si>
  <si>
    <t>TUBO DE CONCRETO PARA REDES COLETORAS DE ÁGUAS PLUVIAIS, DIÂMETRO DE 600 MM, JUNTA RÍGIDA, INSTALADO EM LOCAL COM ALTO NÍVEL DE INTERFERÊNCIAS - FORNECIMENTO E ASSENTAMENTO. AF_12/2015</t>
  </si>
  <si>
    <t>TUBO DE CONCRETO PARA REDES COLETORAS DE ÁGUAS PLUVIAIS, DIÂMETRO DE 400 MM, JUNTA RÍGIDA, INSTALADO EM LOCAL COM ALTO NÍVEL DE INTERFERÊNCIAS - FORNECIMENTO E ASSENTAMENTO. AF_12/2015</t>
  </si>
  <si>
    <t>COMPACTAÇÃO MECÂNICA DE SOLO PARA EXECUÇÃO DE RADIER, COM COMPACTADOR DE SOLOS A PERCUSSÃO. AF_09/2017</t>
  </si>
  <si>
    <t>CALÇADAS</t>
  </si>
  <si>
    <t>4.2.12</t>
  </si>
  <si>
    <t>META</t>
  </si>
  <si>
    <t>PAVIMENTAÇÃO NOVA</t>
  </si>
  <si>
    <t>MICRODRENAGEM</t>
  </si>
  <si>
    <t>SINALIZAÇÃO VIARIA</t>
  </si>
  <si>
    <t>À Executar (DIAS)</t>
  </si>
  <si>
    <t>JANEIRO / 2019</t>
  </si>
  <si>
    <t>ANP - 11 / 2018</t>
  </si>
  <si>
    <t>SINAPI - NOVEMBRO / 2018                                                                                                                               ANP - NOVEMBRO / 2018                                                                               (não desonerado)</t>
  </si>
  <si>
    <t>PISO TÁTIL DIRECIONAL E/OU ALERTA, DE CONCRETO, P/DEFICIENTES VISUAIS, DIMENSÕES 25X25CM, APLICADO COM ARGAMASSA AC-II</t>
  </si>
  <si>
    <t>05.221.826/0001-02</t>
  </si>
  <si>
    <t>4.3.3</t>
  </si>
  <si>
    <t>SALDO ANALISAR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</si>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</sst>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##.##000##"/>
    <numFmt numFmtId="166" formatCode="##.##000"/>
    <numFmt numFmtId="167" formatCode="_(* #,##0_);_(* \(#,##0\);_(* &quot;-&quot;??_);_(@_)"/>
    <numFmt numFmtId="168" formatCode="0.0%"/>
    <numFmt numFmtId="169" formatCode="0.0"/>
    <numFmt numFmtId="170" formatCode="#,##0.00000"/>
    <numFmt numFmtId="171" formatCode="0.00000"/>
    <numFmt numFmtId="172" formatCode="#,##0.00000000000"/>
    <numFmt numFmtId="173" formatCode="#,##0.000000"/>
    <numFmt numFmtId="174" formatCode="###,###,##0.00\ "/>
    <numFmt numFmtId="175" formatCode="#,##0.00_ ;[Red]\-#,##0.00\ "/>
    <numFmt numFmtId="176" formatCode="#,##0.000000000000_ ;[Red]\-#,##0.000000000000\ "/>
    <numFmt numFmtId="177" formatCode="_(* #,##0.000_);_(* \(#,##0.000\);_(* &quot;-&quot;???_);_(@_)"/>
    <numFmt numFmtId="178" formatCode="0.000"/>
    <numFmt numFmtId="179" formatCode="_(* #,##0.000_);_(* \(#,##0.000\);_(* &quot;-&quot;??_);_(@_)"/>
    <numFmt numFmtId="180" formatCode="_(* #,##0.00_);_(* \(#,##0.00\);_(* &quot;-&quot;???_);_(@_)"/>
    <numFmt numFmtId="181" formatCode="_-* #,##0.000_-;\-* #,##0.000_-;_-* &quot;-&quot;???_-;_-@_-"/>
    <numFmt numFmtId="182" formatCode="#,##0.0000000"/>
    <numFmt numFmtId="183" formatCode="###,###,##0.000\ "/>
    <numFmt numFmtId="184" formatCode="#,##0.000"/>
    <numFmt numFmtId="185" formatCode="0.000000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b/>
      <sz val="22"/>
      <name val="Times New Roman"/>
      <family val="1"/>
    </font>
    <font>
      <b/>
      <i/>
      <sz val="10"/>
      <name val="Arial"/>
      <family val="2"/>
    </font>
    <font>
      <b/>
      <sz val="9"/>
      <name val="Times New Roman"/>
      <family val="1"/>
    </font>
    <font>
      <sz val="16"/>
      <name val="Times New Roman"/>
      <family val="1"/>
    </font>
    <font>
      <i/>
      <sz val="10"/>
      <name val="Calibri"/>
      <family val="2"/>
    </font>
    <font>
      <sz val="10"/>
      <name val="Calibri"/>
      <family val="2"/>
    </font>
    <font>
      <i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11"/>
      <name val="Arial"/>
      <family val="2"/>
    </font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2"/>
      <name val="Arial"/>
      <family val="2"/>
    </font>
    <font>
      <sz val="8"/>
      <color rgb="FF000080"/>
      <name val="Arial"/>
      <family val="2"/>
    </font>
    <font>
      <b/>
      <sz val="10"/>
      <color indexed="12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7"/>
      <color indexed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1"/>
      <color indexed="8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b/>
      <sz val="2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4" tint="0.59999389629810485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00">
    <xf numFmtId="0" fontId="0" fillId="0" borderId="0"/>
    <xf numFmtId="0" fontId="26" fillId="0" borderId="0"/>
    <xf numFmtId="0" fontId="3" fillId="0" borderId="0"/>
    <xf numFmtId="0" fontId="29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9" fontId="2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4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8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16" borderId="0" applyNumberFormat="0" applyBorder="0" applyAlignment="0" applyProtection="0"/>
    <xf numFmtId="0" fontId="57" fillId="18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13" borderId="0" applyNumberFormat="0" applyBorder="0" applyAlignment="0" applyProtection="0"/>
    <xf numFmtId="0" fontId="57" fillId="25" borderId="0" applyNumberFormat="0" applyBorder="0" applyAlignment="0" applyProtection="0"/>
    <xf numFmtId="0" fontId="57" fillId="19" borderId="0" applyNumberFormat="0" applyBorder="0" applyAlignment="0" applyProtection="0"/>
    <xf numFmtId="0" fontId="57" fillId="10" borderId="0" applyNumberFormat="0" applyBorder="0" applyAlignment="0" applyProtection="0"/>
    <xf numFmtId="0" fontId="57" fillId="13" borderId="0" applyNumberFormat="0" applyBorder="0" applyAlignment="0" applyProtection="0"/>
    <xf numFmtId="0" fontId="57" fillId="16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5" borderId="0" applyNumberFormat="0" applyBorder="0" applyAlignment="0" applyProtection="0"/>
    <xf numFmtId="0" fontId="58" fillId="10" borderId="0" applyNumberFormat="0" applyBorder="0" applyAlignment="0" applyProtection="0"/>
    <xf numFmtId="0" fontId="62" fillId="13" borderId="0" applyNumberFormat="0" applyBorder="0" applyAlignment="0" applyProtection="0"/>
    <xf numFmtId="0" fontId="59" fillId="29" borderId="100" applyNumberFormat="0" applyAlignment="0" applyProtection="0"/>
    <xf numFmtId="0" fontId="73" fillId="30" borderId="100" applyNumberFormat="0" applyAlignment="0" applyProtection="0"/>
    <xf numFmtId="0" fontId="60" fillId="31" borderId="101" applyNumberFormat="0" applyAlignment="0" applyProtection="0"/>
    <xf numFmtId="0" fontId="72" fillId="0" borderId="102" applyNumberFormat="0" applyFill="0" applyAlignment="0" applyProtection="0"/>
    <xf numFmtId="0" fontId="60" fillId="31" borderId="101" applyNumberFormat="0" applyAlignment="0" applyProtection="0"/>
    <xf numFmtId="0" fontId="57" fillId="32" borderId="0" applyNumberFormat="0" applyBorder="0" applyAlignment="0" applyProtection="0"/>
    <xf numFmtId="0" fontId="57" fillId="25" borderId="0" applyNumberFormat="0" applyBorder="0" applyAlignment="0" applyProtection="0"/>
    <xf numFmtId="0" fontId="57" fillId="19" borderId="0" applyNumberFormat="0" applyBorder="0" applyAlignment="0" applyProtection="0"/>
    <xf numFmtId="0" fontId="57" fillId="33" borderId="0" applyNumberFormat="0" applyBorder="0" applyAlignment="0" applyProtection="0"/>
    <xf numFmtId="0" fontId="57" fillId="23" borderId="0" applyNumberFormat="0" applyBorder="0" applyAlignment="0" applyProtection="0"/>
    <xf numFmtId="0" fontId="57" fillId="27" borderId="0" applyNumberFormat="0" applyBorder="0" applyAlignment="0" applyProtection="0"/>
    <xf numFmtId="0" fontId="66" fillId="20" borderId="100" applyNumberFormat="0" applyAlignment="0" applyProtection="0"/>
    <xf numFmtId="0" fontId="61" fillId="0" borderId="0" applyNumberFormat="0" applyFill="0" applyBorder="0" applyAlignment="0" applyProtection="0"/>
    <xf numFmtId="0" fontId="62" fillId="11" borderId="0" applyNumberFormat="0" applyBorder="0" applyAlignment="0" applyProtection="0"/>
    <xf numFmtId="0" fontId="63" fillId="0" borderId="103" applyNumberFormat="0" applyFill="0" applyAlignment="0" applyProtection="0"/>
    <xf numFmtId="0" fontId="64" fillId="0" borderId="104" applyNumberFormat="0" applyFill="0" applyAlignment="0" applyProtection="0"/>
    <xf numFmtId="0" fontId="65" fillId="0" borderId="105" applyNumberFormat="0" applyFill="0" applyAlignment="0" applyProtection="0"/>
    <xf numFmtId="0" fontId="65" fillId="0" borderId="0" applyNumberFormat="0" applyFill="0" applyBorder="0" applyAlignment="0" applyProtection="0"/>
    <xf numFmtId="0" fontId="58" fillId="12" borderId="0" applyNumberFormat="0" applyBorder="0" applyAlignment="0" applyProtection="0"/>
    <xf numFmtId="0" fontId="66" fillId="14" borderId="100" applyNumberFormat="0" applyAlignment="0" applyProtection="0"/>
    <xf numFmtId="0" fontId="67" fillId="0" borderId="106" applyNumberFormat="0" applyFill="0" applyAlignment="0" applyProtection="0"/>
    <xf numFmtId="0" fontId="74" fillId="20" borderId="0" applyNumberFormat="0" applyBorder="0" applyAlignment="0" applyProtection="0"/>
    <xf numFmtId="0" fontId="68" fillId="20" borderId="0" applyNumberFormat="0" applyBorder="0" applyAlignment="0" applyProtection="0"/>
    <xf numFmtId="0" fontId="56" fillId="17" borderId="107" applyNumberFormat="0" applyFont="0" applyAlignment="0" applyProtection="0"/>
    <xf numFmtId="0" fontId="26" fillId="17" borderId="107" applyNumberFormat="0" applyFont="0" applyAlignment="0" applyProtection="0"/>
    <xf numFmtId="0" fontId="69" fillId="29" borderId="108" applyNumberFormat="0" applyAlignment="0" applyProtection="0"/>
    <xf numFmtId="0" fontId="69" fillId="30" borderId="108" applyNumberFormat="0" applyAlignment="0" applyProtection="0"/>
    <xf numFmtId="0" fontId="7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109" applyNumberFormat="0" applyFill="0" applyAlignment="0" applyProtection="0"/>
    <xf numFmtId="0" fontId="77" fillId="0" borderId="110" applyNumberFormat="0" applyFill="0" applyAlignment="0" applyProtection="0"/>
    <xf numFmtId="0" fontId="78" fillId="0" borderId="111" applyNumberFormat="0" applyFill="0" applyAlignment="0" applyProtection="0"/>
    <xf numFmtId="0" fontId="78" fillId="0" borderId="0" applyNumberFormat="0" applyFill="0" applyBorder="0" applyAlignment="0" applyProtection="0"/>
    <xf numFmtId="0" fontId="71" fillId="0" borderId="112" applyNumberFormat="0" applyFill="0" applyAlignment="0" applyProtection="0"/>
    <xf numFmtId="0" fontId="72" fillId="0" borderId="0" applyNumberFormat="0" applyFill="0" applyBorder="0" applyAlignment="0" applyProtection="0"/>
    <xf numFmtId="0" fontId="2" fillId="0" borderId="0"/>
    <xf numFmtId="0" fontId="2" fillId="17" borderId="107" applyNumberFormat="0" applyFont="0" applyAlignment="0" applyProtection="0"/>
    <xf numFmtId="0" fontId="2" fillId="0" borderId="0"/>
    <xf numFmtId="0" fontId="1" fillId="0" borderId="0"/>
    <xf numFmtId="44" fontId="26" fillId="0" borderId="0" applyFont="0" applyFill="0" applyBorder="0" applyAlignment="0" applyProtection="0"/>
  </cellStyleXfs>
  <cellXfs count="1561">
    <xf numFmtId="0" fontId="0" fillId="0" borderId="0" xfId="0"/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/>
    <xf numFmtId="165" fontId="12" fillId="0" borderId="0" xfId="0" applyNumberFormat="1" applyFont="1" applyFill="1" applyAlignment="1">
      <alignment horizontal="right" vertical="center"/>
    </xf>
    <xf numFmtId="166" fontId="12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31" fillId="0" borderId="0" xfId="0" applyNumberFormat="1" applyFont="1" applyBorder="1" applyAlignment="1">
      <alignment horizontal="center" vertical="center" wrapText="1"/>
    </xf>
    <xf numFmtId="4" fontId="31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/>
    </xf>
    <xf numFmtId="10" fontId="6" fillId="0" borderId="0" xfId="0" applyNumberFormat="1" applyFont="1" applyFill="1" applyBorder="1" applyAlignment="1">
      <alignment horizontal="right" vertical="center"/>
    </xf>
    <xf numFmtId="10" fontId="6" fillId="0" borderId="0" xfId="0" applyNumberFormat="1" applyFont="1" applyFill="1" applyBorder="1" applyAlignment="1">
      <alignment vertical="center"/>
    </xf>
    <xf numFmtId="10" fontId="12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0" fillId="0" borderId="25" xfId="9" applyFont="1" applyFill="1" applyBorder="1" applyAlignment="1">
      <alignment vertical="center"/>
    </xf>
    <xf numFmtId="164" fontId="0" fillId="0" borderId="25" xfId="9" quotePrefix="1" applyFont="1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Fill="1"/>
    <xf numFmtId="0" fontId="12" fillId="0" borderId="0" xfId="0" applyFont="1" applyBorder="1" applyAlignment="1">
      <alignment horizontal="center" vertical="center"/>
    </xf>
    <xf numFmtId="0" fontId="11" fillId="0" borderId="0" xfId="0" applyFont="1"/>
    <xf numFmtId="0" fontId="32" fillId="0" borderId="0" xfId="0" applyFont="1"/>
    <xf numFmtId="4" fontId="32" fillId="0" borderId="0" xfId="0" applyNumberFormat="1" applyFont="1"/>
    <xf numFmtId="0" fontId="24" fillId="0" borderId="0" xfId="0" applyFont="1"/>
    <xf numFmtId="164" fontId="9" fillId="0" borderId="31" xfId="8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71" fontId="32" fillId="0" borderId="0" xfId="0" applyNumberFormat="1" applyFont="1"/>
    <xf numFmtId="0" fontId="40" fillId="3" borderId="13" xfId="1" applyFont="1" applyFill="1" applyBorder="1" applyAlignment="1">
      <alignment horizontal="center" vertical="center"/>
    </xf>
    <xf numFmtId="0" fontId="41" fillId="3" borderId="13" xfId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4" fontId="13" fillId="0" borderId="0" xfId="2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4" fontId="32" fillId="0" borderId="0" xfId="0" applyNumberFormat="1" applyFont="1" applyBorder="1"/>
    <xf numFmtId="0" fontId="45" fillId="0" borderId="0" xfId="0" applyFont="1" applyAlignment="1"/>
    <xf numFmtId="164" fontId="0" fillId="0" borderId="0" xfId="0" applyNumberFormat="1"/>
    <xf numFmtId="164" fontId="12" fillId="0" borderId="0" xfId="7" applyFont="1" applyFill="1" applyAlignment="1">
      <alignment horizontal="right" vertical="center"/>
    </xf>
    <xf numFmtId="4" fontId="9" fillId="0" borderId="31" xfId="0" applyNumberFormat="1" applyFont="1" applyBorder="1" applyAlignment="1">
      <alignment horizontal="center" vertical="center"/>
    </xf>
    <xf numFmtId="0" fontId="0" fillId="0" borderId="0" xfId="0"/>
    <xf numFmtId="0" fontId="4" fillId="0" borderId="0" xfId="0" applyFont="1" applyAlignment="1"/>
    <xf numFmtId="0" fontId="4" fillId="0" borderId="0" xfId="0" applyFont="1" applyFill="1" applyAlignment="1"/>
    <xf numFmtId="0" fontId="4" fillId="0" borderId="0" xfId="0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>
      <alignment horizontal="right"/>
    </xf>
    <xf numFmtId="40" fontId="4" fillId="0" borderId="0" xfId="7" applyNumberFormat="1" applyFont="1" applyFill="1" applyBorder="1" applyAlignment="1"/>
    <xf numFmtId="40" fontId="46" fillId="0" borderId="0" xfId="7" applyNumberFormat="1" applyFont="1" applyFill="1" applyBorder="1" applyAlignment="1"/>
    <xf numFmtId="0" fontId="0" fillId="0" borderId="0" xfId="0" applyFill="1" applyBorder="1"/>
    <xf numFmtId="0" fontId="0" fillId="0" borderId="0" xfId="0" applyFill="1" applyAlignment="1">
      <alignment horizontal="right"/>
    </xf>
    <xf numFmtId="40" fontId="47" fillId="0" borderId="57" xfId="7" applyNumberFormat="1" applyFont="1" applyFill="1" applyBorder="1" applyAlignment="1">
      <alignment horizontal="center"/>
    </xf>
    <xf numFmtId="40" fontId="48" fillId="0" borderId="64" xfId="7" applyNumberFormat="1" applyFont="1" applyFill="1" applyBorder="1" applyAlignment="1"/>
    <xf numFmtId="40" fontId="47" fillId="0" borderId="54" xfId="7" applyNumberFormat="1" applyFont="1" applyFill="1" applyBorder="1" applyAlignment="1">
      <alignment horizontal="center"/>
    </xf>
    <xf numFmtId="0" fontId="35" fillId="0" borderId="55" xfId="0" applyFont="1" applyFill="1" applyBorder="1" applyAlignment="1">
      <alignment horizontal="right"/>
    </xf>
    <xf numFmtId="1" fontId="47" fillId="0" borderId="49" xfId="0" applyNumberFormat="1" applyFont="1" applyBorder="1" applyAlignment="1"/>
    <xf numFmtId="1" fontId="47" fillId="0" borderId="46" xfId="0" applyNumberFormat="1" applyFont="1" applyBorder="1" applyAlignment="1">
      <alignment horizontal="left"/>
    </xf>
    <xf numFmtId="1" fontId="47" fillId="0" borderId="46" xfId="0" applyNumberFormat="1" applyFont="1" applyBorder="1" applyAlignment="1"/>
    <xf numFmtId="1" fontId="47" fillId="0" borderId="46" xfId="0" applyNumberFormat="1" applyFont="1" applyFill="1" applyBorder="1" applyAlignment="1">
      <alignment horizontal="center"/>
    </xf>
    <xf numFmtId="40" fontId="47" fillId="0" borderId="50" xfId="7" applyNumberFormat="1" applyFont="1" applyFill="1" applyBorder="1"/>
    <xf numFmtId="40" fontId="47" fillId="0" borderId="20" xfId="7" applyNumberFormat="1" applyFont="1" applyBorder="1" applyAlignment="1">
      <alignment horizontal="center"/>
    </xf>
    <xf numFmtId="40" fontId="49" fillId="0" borderId="52" xfId="7" applyNumberFormat="1" applyFont="1" applyFill="1" applyBorder="1"/>
    <xf numFmtId="40" fontId="49" fillId="0" borderId="20" xfId="7" applyNumberFormat="1" applyFont="1" applyBorder="1" applyAlignment="1">
      <alignment horizontal="center"/>
    </xf>
    <xf numFmtId="40" fontId="49" fillId="0" borderId="20" xfId="7" applyNumberFormat="1" applyFont="1" applyFill="1" applyBorder="1"/>
    <xf numFmtId="175" fontId="0" fillId="0" borderId="0" xfId="0" applyNumberFormat="1"/>
    <xf numFmtId="1" fontId="49" fillId="0" borderId="51" xfId="0" applyNumberFormat="1" applyFont="1" applyBorder="1" applyAlignment="1"/>
    <xf numFmtId="1" fontId="49" fillId="0" borderId="20" xfId="0" applyNumberFormat="1" applyFont="1" applyBorder="1" applyAlignment="1">
      <alignment horizontal="left"/>
    </xf>
    <xf numFmtId="40" fontId="49" fillId="0" borderId="20" xfId="7" applyNumberFormat="1" applyFont="1" applyFill="1" applyBorder="1" applyAlignment="1">
      <alignment horizontal="right"/>
    </xf>
    <xf numFmtId="40" fontId="49" fillId="0" borderId="51" xfId="7" applyNumberFormat="1" applyFont="1" applyBorder="1"/>
    <xf numFmtId="40" fontId="49" fillId="0" borderId="20" xfId="7" applyNumberFormat="1" applyFont="1" applyBorder="1" applyAlignment="1">
      <alignment horizontal="left"/>
    </xf>
    <xf numFmtId="40" fontId="49" fillId="0" borderId="20" xfId="7" applyNumberFormat="1" applyFont="1" applyBorder="1"/>
    <xf numFmtId="0" fontId="35" fillId="0" borderId="20" xfId="0" applyFont="1" applyBorder="1"/>
    <xf numFmtId="0" fontId="49" fillId="0" borderId="53" xfId="0" applyFont="1" applyBorder="1"/>
    <xf numFmtId="0" fontId="49" fillId="0" borderId="54" xfId="0" applyFont="1" applyBorder="1" applyAlignment="1">
      <alignment horizontal="left"/>
    </xf>
    <xf numFmtId="0" fontId="49" fillId="0" borderId="54" xfId="0" applyFont="1" applyBorder="1"/>
    <xf numFmtId="40" fontId="49" fillId="0" borderId="54" xfId="7" applyNumberFormat="1" applyFont="1" applyBorder="1"/>
    <xf numFmtId="0" fontId="35" fillId="0" borderId="54" xfId="0" applyFont="1" applyBorder="1"/>
    <xf numFmtId="43" fontId="0" fillId="0" borderId="0" xfId="0" applyNumberFormat="1" applyFill="1"/>
    <xf numFmtId="40" fontId="0" fillId="0" borderId="0" xfId="0" applyNumberFormat="1" applyFill="1" applyBorder="1"/>
    <xf numFmtId="175" fontId="0" fillId="0" borderId="0" xfId="0" applyNumberFormat="1" applyFill="1" applyAlignment="1">
      <alignment horizontal="right"/>
    </xf>
    <xf numFmtId="40" fontId="46" fillId="0" borderId="0" xfId="0" applyNumberFormat="1" applyFont="1" applyFill="1" applyBorder="1"/>
    <xf numFmtId="175" fontId="0" fillId="0" borderId="0" xfId="0" applyNumberFormat="1" applyFill="1"/>
    <xf numFmtId="43" fontId="0" fillId="0" borderId="0" xfId="7" applyNumberFormat="1" applyFont="1" applyFill="1"/>
    <xf numFmtId="43" fontId="0" fillId="0" borderId="20" xfId="7" applyNumberFormat="1" applyFont="1" applyFill="1" applyBorder="1"/>
    <xf numFmtId="176" fontId="50" fillId="0" borderId="20" xfId="7" applyNumberFormat="1" applyFont="1" applyFill="1" applyBorder="1"/>
    <xf numFmtId="0" fontId="51" fillId="0" borderId="0" xfId="0" applyFont="1"/>
    <xf numFmtId="0" fontId="0" fillId="0" borderId="0" xfId="0"/>
    <xf numFmtId="0" fontId="11" fillId="0" borderId="0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6" fillId="0" borderId="1" xfId="2" applyFont="1" applyFill="1" applyBorder="1"/>
    <xf numFmtId="0" fontId="6" fillId="0" borderId="44" xfId="2" applyFont="1" applyFill="1" applyBorder="1"/>
    <xf numFmtId="0" fontId="11" fillId="0" borderId="3" xfId="2" applyFont="1" applyFill="1" applyBorder="1" applyAlignment="1">
      <alignment horizontal="right"/>
    </xf>
    <xf numFmtId="0" fontId="11" fillId="0" borderId="54" xfId="2" applyFont="1" applyFill="1" applyBorder="1" applyAlignment="1">
      <alignment horizontal="right"/>
    </xf>
    <xf numFmtId="4" fontId="11" fillId="0" borderId="3" xfId="2" applyNumberFormat="1" applyFont="1" applyFill="1" applyBorder="1" applyAlignment="1">
      <alignment horizontal="left"/>
    </xf>
    <xf numFmtId="0" fontId="3" fillId="0" borderId="3" xfId="2" applyBorder="1"/>
    <xf numFmtId="0" fontId="0" fillId="0" borderId="81" xfId="0" applyFill="1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0" fillId="0" borderId="12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0" fillId="0" borderId="80" xfId="0" applyBorder="1" applyAlignment="1">
      <alignment vertical="center"/>
    </xf>
    <xf numFmtId="0" fontId="3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164" fontId="37" fillId="5" borderId="27" xfId="9" applyFont="1" applyFill="1" applyBorder="1" applyAlignment="1">
      <alignment vertical="center"/>
    </xf>
    <xf numFmtId="0" fontId="0" fillId="0" borderId="27" xfId="0" quotePrefix="1" applyBorder="1" applyAlignment="1">
      <alignment horizontal="center" vertical="center"/>
    </xf>
    <xf numFmtId="2" fontId="37" fillId="0" borderId="27" xfId="0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0" fontId="3" fillId="0" borderId="25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164" fontId="37" fillId="0" borderId="25" xfId="9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quotePrefix="1" applyBorder="1" applyAlignment="1">
      <alignment horizontal="center" vertical="center"/>
    </xf>
    <xf numFmtId="2" fontId="37" fillId="0" borderId="25" xfId="0" applyNumberFormat="1" applyFont="1" applyBorder="1" applyAlignment="1">
      <alignment vertical="center"/>
    </xf>
    <xf numFmtId="164" fontId="0" fillId="0" borderId="27" xfId="9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2" fontId="29" fillId="0" borderId="21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quotePrefix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25" xfId="0" applyNumberFormat="1" applyBorder="1" applyAlignment="1">
      <alignment vertical="center"/>
    </xf>
    <xf numFmtId="0" fontId="0" fillId="0" borderId="81" xfId="0" applyBorder="1" applyAlignment="1">
      <alignment vertical="center"/>
    </xf>
    <xf numFmtId="0" fontId="30" fillId="0" borderId="28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3" fillId="0" borderId="80" xfId="0" applyFon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0" fontId="3" fillId="0" borderId="67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37" fillId="0" borderId="25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164" fontId="0" fillId="3" borderId="25" xfId="9" applyFont="1" applyFill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3" borderId="27" xfId="0" applyFont="1" applyFill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7" fillId="0" borderId="25" xfId="0" applyFont="1" applyBorder="1" applyAlignment="1">
      <alignment vertical="center"/>
    </xf>
    <xf numFmtId="2" fontId="0" fillId="0" borderId="25" xfId="0" applyNumberFormat="1" applyBorder="1" applyAlignment="1">
      <alignment horizontal="center" vertical="center"/>
    </xf>
    <xf numFmtId="2" fontId="0" fillId="3" borderId="25" xfId="0" applyNumberFormat="1" applyFill="1" applyBorder="1" applyAlignment="1">
      <alignment vertical="center"/>
    </xf>
    <xf numFmtId="164" fontId="0" fillId="0" borderId="25" xfId="9" applyFont="1" applyBorder="1" applyAlignment="1">
      <alignment horizontal="center" vertical="center"/>
    </xf>
    <xf numFmtId="2" fontId="0" fillId="0" borderId="25" xfId="0" applyNumberForma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164" fontId="0" fillId="0" borderId="0" xfId="9" applyFont="1" applyBorder="1" applyAlignment="1">
      <alignment horizontal="center" vertical="center"/>
    </xf>
    <xf numFmtId="2" fontId="0" fillId="3" borderId="0" xfId="0" applyNumberFormat="1" applyFill="1" applyBorder="1" applyAlignment="1">
      <alignment vertical="center"/>
    </xf>
    <xf numFmtId="0" fontId="37" fillId="0" borderId="80" xfId="0" applyFont="1" applyBorder="1" applyAlignment="1">
      <alignment vertical="center"/>
    </xf>
    <xf numFmtId="0" fontId="0" fillId="0" borderId="61" xfId="0" applyBorder="1" applyAlignment="1">
      <alignment vertical="center"/>
    </xf>
    <xf numFmtId="4" fontId="37" fillId="0" borderId="25" xfId="0" applyNumberFormat="1" applyFont="1" applyBorder="1" applyAlignment="1">
      <alignment vertical="center"/>
    </xf>
    <xf numFmtId="4" fontId="0" fillId="0" borderId="25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37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7" fillId="0" borderId="82" xfId="0" applyFont="1" applyBorder="1" applyAlignment="1">
      <alignment vertical="center"/>
    </xf>
    <xf numFmtId="0" fontId="17" fillId="0" borderId="69" xfId="0" applyFont="1" applyBorder="1" applyAlignment="1">
      <alignment vertical="center"/>
    </xf>
    <xf numFmtId="164" fontId="38" fillId="0" borderId="69" xfId="9" applyFont="1" applyBorder="1" applyAlignment="1">
      <alignment vertical="center"/>
    </xf>
    <xf numFmtId="0" fontId="32" fillId="0" borderId="20" xfId="0" applyFont="1" applyBorder="1" applyAlignment="1">
      <alignment horizontal="center" vertical="center"/>
    </xf>
    <xf numFmtId="2" fontId="32" fillId="0" borderId="20" xfId="0" applyNumberFormat="1" applyFont="1" applyFill="1" applyBorder="1" applyAlignment="1">
      <alignment horizontal="right" vertical="center" wrapText="1"/>
    </xf>
    <xf numFmtId="0" fontId="32" fillId="0" borderId="52" xfId="0" applyFont="1" applyBorder="1" applyAlignment="1">
      <alignment horizontal="center" vertical="center"/>
    </xf>
    <xf numFmtId="2" fontId="29" fillId="0" borderId="0" xfId="0" applyNumberFormat="1" applyFont="1" applyFill="1" applyBorder="1" applyAlignment="1">
      <alignment vertical="center"/>
    </xf>
    <xf numFmtId="164" fontId="32" fillId="0" borderId="20" xfId="0" applyNumberFormat="1" applyFont="1" applyFill="1" applyBorder="1" applyAlignment="1">
      <alignment horizontal="right" vertical="center" wrapText="1"/>
    </xf>
    <xf numFmtId="164" fontId="29" fillId="0" borderId="0" xfId="0" applyNumberFormat="1" applyFont="1" applyFill="1" applyBorder="1" applyAlignment="1">
      <alignment vertical="center"/>
    </xf>
    <xf numFmtId="0" fontId="32" fillId="0" borderId="54" xfId="0" applyFont="1" applyBorder="1" applyAlignment="1">
      <alignment horizontal="center" vertical="center"/>
    </xf>
    <xf numFmtId="164" fontId="32" fillId="0" borderId="54" xfId="0" applyNumberFormat="1" applyFont="1" applyFill="1" applyBorder="1" applyAlignment="1">
      <alignment horizontal="right" vertical="center" wrapText="1"/>
    </xf>
    <xf numFmtId="0" fontId="32" fillId="0" borderId="5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0" fillId="3" borderId="13" xfId="1" applyFont="1" applyFill="1" applyBorder="1" applyAlignment="1">
      <alignment vertical="center"/>
    </xf>
    <xf numFmtId="173" fontId="41" fillId="3" borderId="13" xfId="1" applyNumberFormat="1" applyFont="1" applyFill="1" applyBorder="1" applyAlignment="1">
      <alignment vertical="center"/>
    </xf>
    <xf numFmtId="174" fontId="41" fillId="3" borderId="13" xfId="1" applyNumberFormat="1" applyFont="1" applyFill="1" applyBorder="1" applyAlignment="1">
      <alignment vertical="center"/>
    </xf>
    <xf numFmtId="170" fontId="41" fillId="3" borderId="13" xfId="1" applyNumberFormat="1" applyFont="1" applyFill="1" applyBorder="1" applyAlignment="1">
      <alignment vertical="center"/>
    </xf>
    <xf numFmtId="174" fontId="41" fillId="0" borderId="13" xfId="1" applyNumberFormat="1" applyFont="1" applyFill="1" applyBorder="1" applyAlignment="1">
      <alignment vertical="center"/>
    </xf>
    <xf numFmtId="10" fontId="40" fillId="3" borderId="13" xfId="1" applyNumberFormat="1" applyFont="1" applyFill="1" applyBorder="1" applyAlignment="1">
      <alignment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40" fillId="3" borderId="32" xfId="1" applyFont="1" applyFill="1" applyBorder="1" applyAlignment="1">
      <alignment horizontal="center" vertical="center"/>
    </xf>
    <xf numFmtId="0" fontId="40" fillId="3" borderId="74" xfId="1" applyFont="1" applyFill="1" applyBorder="1" applyAlignment="1">
      <alignment horizontal="center" vertical="center"/>
    </xf>
    <xf numFmtId="4" fontId="40" fillId="3" borderId="74" xfId="1" applyNumberFormat="1" applyFont="1" applyFill="1" applyBorder="1" applyAlignment="1">
      <alignment horizontal="center" vertical="center"/>
    </xf>
    <xf numFmtId="0" fontId="40" fillId="3" borderId="75" xfId="1" applyFont="1" applyFill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/>
    </xf>
    <xf numFmtId="174" fontId="41" fillId="3" borderId="70" xfId="1" applyNumberFormat="1" applyFont="1" applyFill="1" applyBorder="1" applyAlignment="1">
      <alignment vertical="center"/>
    </xf>
    <xf numFmtId="0" fontId="40" fillId="3" borderId="71" xfId="1" applyFont="1" applyFill="1" applyBorder="1" applyAlignment="1">
      <alignment horizontal="center" vertical="center"/>
    </xf>
    <xf numFmtId="0" fontId="40" fillId="3" borderId="72" xfId="1" applyFont="1" applyFill="1" applyBorder="1" applyAlignment="1">
      <alignment vertical="center"/>
    </xf>
    <xf numFmtId="4" fontId="40" fillId="3" borderId="72" xfId="1" applyNumberFormat="1" applyFont="1" applyFill="1" applyBorder="1" applyAlignment="1">
      <alignment vertical="center"/>
    </xf>
    <xf numFmtId="174" fontId="40" fillId="3" borderId="73" xfId="1" applyNumberFormat="1" applyFont="1" applyFill="1" applyBorder="1" applyAlignment="1">
      <alignment vertical="center"/>
    </xf>
    <xf numFmtId="0" fontId="40" fillId="3" borderId="14" xfId="1" applyFont="1" applyFill="1" applyBorder="1" applyAlignment="1">
      <alignment horizontal="center" vertical="center"/>
    </xf>
    <xf numFmtId="0" fontId="40" fillId="3" borderId="14" xfId="1" applyFont="1" applyFill="1" applyBorder="1" applyAlignment="1">
      <alignment vertical="center"/>
    </xf>
    <xf numFmtId="0" fontId="40" fillId="3" borderId="74" xfId="1" applyFont="1" applyFill="1" applyBorder="1" applyAlignment="1">
      <alignment vertical="center"/>
    </xf>
    <xf numFmtId="4" fontId="40" fillId="3" borderId="74" xfId="1" applyNumberFormat="1" applyFont="1" applyFill="1" applyBorder="1" applyAlignment="1">
      <alignment vertical="center"/>
    </xf>
    <xf numFmtId="0" fontId="40" fillId="3" borderId="75" xfId="1" applyFont="1" applyFill="1" applyBorder="1" applyAlignment="1">
      <alignment vertical="center"/>
    </xf>
    <xf numFmtId="0" fontId="41" fillId="0" borderId="34" xfId="1" applyFont="1" applyFill="1" applyBorder="1" applyAlignment="1">
      <alignment horizontal="center" vertical="center" wrapText="1"/>
    </xf>
    <xf numFmtId="0" fontId="40" fillId="3" borderId="45" xfId="1" applyFont="1" applyFill="1" applyBorder="1" applyAlignment="1">
      <alignment vertical="center"/>
    </xf>
    <xf numFmtId="0" fontId="40" fillId="3" borderId="85" xfId="1" applyFont="1" applyFill="1" applyBorder="1" applyAlignment="1">
      <alignment horizontal="center" vertical="center"/>
    </xf>
    <xf numFmtId="0" fontId="40" fillId="3" borderId="86" xfId="1" applyFont="1" applyFill="1" applyBorder="1" applyAlignment="1">
      <alignment vertical="center"/>
    </xf>
    <xf numFmtId="174" fontId="40" fillId="3" borderId="87" xfId="1" applyNumberFormat="1" applyFont="1" applyFill="1" applyBorder="1" applyAlignment="1">
      <alignment vertical="center"/>
    </xf>
    <xf numFmtId="0" fontId="40" fillId="3" borderId="77" xfId="1" applyFont="1" applyFill="1" applyBorder="1" applyAlignment="1">
      <alignment horizontal="center" vertical="center"/>
    </xf>
    <xf numFmtId="174" fontId="40" fillId="3" borderId="76" xfId="1" applyNumberFormat="1" applyFont="1" applyFill="1" applyBorder="1" applyAlignment="1">
      <alignment vertical="center"/>
    </xf>
    <xf numFmtId="0" fontId="40" fillId="3" borderId="34" xfId="1" applyFont="1" applyFill="1" applyBorder="1" applyAlignment="1">
      <alignment horizontal="center" vertical="center"/>
    </xf>
    <xf numFmtId="174" fontId="40" fillId="3" borderId="70" xfId="1" applyNumberFormat="1" applyFont="1" applyFill="1" applyBorder="1" applyAlignment="1">
      <alignment vertical="center"/>
    </xf>
    <xf numFmtId="0" fontId="40" fillId="3" borderId="72" xfId="1" applyFont="1" applyFill="1" applyBorder="1" applyAlignment="1">
      <alignment horizontal="center" vertical="center"/>
    </xf>
    <xf numFmtId="0" fontId="41" fillId="3" borderId="34" xfId="1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40" fillId="3" borderId="38" xfId="1" applyFont="1" applyFill="1" applyBorder="1" applyAlignment="1">
      <alignment horizontal="center" vertical="center"/>
    </xf>
    <xf numFmtId="174" fontId="40" fillId="3" borderId="88" xfId="1" applyNumberFormat="1" applyFont="1" applyFill="1" applyBorder="1" applyAlignment="1">
      <alignment vertical="center"/>
    </xf>
    <xf numFmtId="0" fontId="40" fillId="3" borderId="45" xfId="1" applyFont="1" applyFill="1" applyBorder="1" applyAlignment="1">
      <alignment horizontal="center" vertical="center"/>
    </xf>
    <xf numFmtId="0" fontId="40" fillId="3" borderId="86" xfId="1" applyFont="1" applyFill="1" applyBorder="1" applyAlignment="1">
      <alignment horizontal="center" vertical="center"/>
    </xf>
    <xf numFmtId="0" fontId="40" fillId="3" borderId="76" xfId="1" applyFont="1" applyFill="1" applyBorder="1" applyAlignment="1">
      <alignment horizontal="center" vertical="center"/>
    </xf>
    <xf numFmtId="0" fontId="27" fillId="0" borderId="89" xfId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4" fontId="34" fillId="0" borderId="13" xfId="2" applyNumberFormat="1" applyFont="1" applyFill="1" applyBorder="1" applyAlignment="1">
      <alignment horizontal="left" vertical="center"/>
    </xf>
    <xf numFmtId="4" fontId="36" fillId="0" borderId="13" xfId="2" applyNumberFormat="1" applyFont="1" applyFill="1" applyBorder="1" applyAlignment="1">
      <alignment vertical="center"/>
    </xf>
    <xf numFmtId="0" fontId="36" fillId="0" borderId="13" xfId="2" applyNumberFormat="1" applyFont="1" applyFill="1" applyBorder="1" applyAlignment="1">
      <alignment horizontal="center" vertical="center"/>
    </xf>
    <xf numFmtId="0" fontId="36" fillId="0" borderId="13" xfId="2" applyFont="1" applyFill="1" applyBorder="1" applyAlignment="1">
      <alignment horizontal="center" vertical="center"/>
    </xf>
    <xf numFmtId="4" fontId="6" fillId="0" borderId="0" xfId="2" applyNumberFormat="1" applyFont="1" applyAlignment="1">
      <alignment vertical="center"/>
    </xf>
    <xf numFmtId="4" fontId="11" fillId="0" borderId="13" xfId="2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 wrapText="1"/>
    </xf>
    <xf numFmtId="0" fontId="6" fillId="0" borderId="34" xfId="2" applyFont="1" applyFill="1" applyBorder="1" applyAlignment="1">
      <alignment horizontal="center" vertical="center"/>
    </xf>
    <xf numFmtId="0" fontId="36" fillId="0" borderId="70" xfId="2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0" fontId="12" fillId="0" borderId="0" xfId="6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9" fillId="3" borderId="0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44" fillId="0" borderId="0" xfId="0" applyFont="1" applyAlignment="1">
      <alignment vertical="center"/>
    </xf>
    <xf numFmtId="164" fontId="44" fillId="0" borderId="0" xfId="7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52" xfId="0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>
      <alignment horizontal="center" vertical="center"/>
    </xf>
    <xf numFmtId="43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4" fontId="23" fillId="0" borderId="0" xfId="2" applyNumberFormat="1" applyFont="1" applyBorder="1" applyAlignment="1">
      <alignment horizontal="center" vertical="center"/>
    </xf>
    <xf numFmtId="4" fontId="23" fillId="0" borderId="0" xfId="2" applyNumberFormat="1" applyFont="1" applyBorder="1" applyAlignment="1">
      <alignment vertical="center"/>
    </xf>
    <xf numFmtId="181" fontId="3" fillId="3" borderId="20" xfId="2" applyNumberFormat="1" applyFill="1" applyBorder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vertical="center"/>
    </xf>
    <xf numFmtId="4" fontId="3" fillId="0" borderId="0" xfId="2" applyNumberFormat="1" applyFont="1" applyAlignment="1">
      <alignment vertical="center"/>
    </xf>
    <xf numFmtId="0" fontId="52" fillId="0" borderId="0" xfId="4" applyFont="1" applyAlignment="1">
      <alignment horizontal="center" vertical="center"/>
    </xf>
    <xf numFmtId="0" fontId="53" fillId="0" borderId="0" xfId="4" applyFont="1" applyAlignment="1">
      <alignment horizontal="center" vertical="center"/>
    </xf>
    <xf numFmtId="0" fontId="3" fillId="3" borderId="0" xfId="2" applyFill="1" applyAlignment="1">
      <alignment vertical="center"/>
    </xf>
    <xf numFmtId="177" fontId="3" fillId="3" borderId="20" xfId="2" applyNumberFormat="1" applyFill="1" applyBorder="1" applyAlignment="1">
      <alignment vertical="center"/>
    </xf>
    <xf numFmtId="164" fontId="0" fillId="3" borderId="0" xfId="11" applyFont="1" applyFill="1" applyAlignment="1">
      <alignment vertical="center"/>
    </xf>
    <xf numFmtId="177" fontId="54" fillId="3" borderId="20" xfId="2" applyNumberFormat="1" applyFont="1" applyFill="1" applyBorder="1" applyAlignment="1">
      <alignment horizontal="center" vertical="center"/>
    </xf>
    <xf numFmtId="180" fontId="17" fillId="3" borderId="12" xfId="2" applyNumberFormat="1" applyFont="1" applyFill="1" applyBorder="1" applyAlignment="1">
      <alignment vertical="center"/>
    </xf>
    <xf numFmtId="180" fontId="17" fillId="3" borderId="11" xfId="2" applyNumberFormat="1" applyFont="1" applyFill="1" applyBorder="1" applyAlignment="1">
      <alignment vertical="center"/>
    </xf>
    <xf numFmtId="180" fontId="17" fillId="3" borderId="1" xfId="2" applyNumberFormat="1" applyFont="1" applyFill="1" applyBorder="1" applyAlignment="1">
      <alignment vertical="center"/>
    </xf>
    <xf numFmtId="180" fontId="17" fillId="3" borderId="0" xfId="2" applyNumberFormat="1" applyFont="1" applyFill="1" applyBorder="1" applyAlignment="1">
      <alignment vertical="center"/>
    </xf>
    <xf numFmtId="177" fontId="3" fillId="3" borderId="0" xfId="2" applyNumberFormat="1" applyFill="1" applyBorder="1" applyAlignment="1">
      <alignment horizontal="right" vertical="center"/>
    </xf>
    <xf numFmtId="0" fontId="3" fillId="3" borderId="1" xfId="2" applyFill="1" applyBorder="1" applyAlignment="1">
      <alignment vertical="center"/>
    </xf>
    <xf numFmtId="0" fontId="3" fillId="3" borderId="0" xfId="2" applyFill="1" applyBorder="1" applyAlignment="1">
      <alignment vertical="center"/>
    </xf>
    <xf numFmtId="180" fontId="3" fillId="3" borderId="0" xfId="2" applyNumberFormat="1" applyFont="1" applyFill="1" applyBorder="1" applyAlignment="1">
      <alignment vertical="center"/>
    </xf>
    <xf numFmtId="0" fontId="3" fillId="3" borderId="0" xfId="2" applyFont="1" applyFill="1" applyBorder="1" applyAlignment="1">
      <alignment horizontal="right" vertical="center"/>
    </xf>
    <xf numFmtId="0" fontId="3" fillId="3" borderId="0" xfId="2" applyFill="1" applyBorder="1" applyAlignment="1">
      <alignment horizontal="right" vertical="center"/>
    </xf>
    <xf numFmtId="177" fontId="3" fillId="3" borderId="0" xfId="2" applyNumberFormat="1" applyFont="1" applyFill="1" applyAlignment="1">
      <alignment vertical="center"/>
    </xf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3" fillId="3" borderId="0" xfId="2" applyFill="1" applyAlignment="1">
      <alignment horizontal="center" vertical="center"/>
    </xf>
    <xf numFmtId="0" fontId="52" fillId="0" borderId="0" xfId="12" applyFont="1" applyAlignment="1">
      <alignment horizontal="center" vertical="center"/>
    </xf>
    <xf numFmtId="0" fontId="53" fillId="0" borderId="0" xfId="12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3" fillId="0" borderId="0" xfId="2" applyNumberFormat="1" applyAlignment="1">
      <alignment vertical="center"/>
    </xf>
    <xf numFmtId="0" fontId="23" fillId="0" borderId="0" xfId="4" applyFont="1" applyAlignment="1">
      <alignment vertical="center"/>
    </xf>
    <xf numFmtId="0" fontId="3" fillId="0" borderId="0" xfId="2" applyAlignment="1">
      <alignment horizontal="center" vertical="center"/>
    </xf>
    <xf numFmtId="0" fontId="14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1" fillId="0" borderId="13" xfId="1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41" fillId="3" borderId="13" xfId="1" applyFont="1" applyFill="1" applyBorder="1" applyAlignment="1">
      <alignment vertical="center" wrapText="1" shrinkToFit="1"/>
    </xf>
    <xf numFmtId="4" fontId="40" fillId="3" borderId="13" xfId="1" applyNumberFormat="1" applyFont="1" applyFill="1" applyBorder="1" applyAlignment="1">
      <alignment vertical="center"/>
    </xf>
    <xf numFmtId="0" fontId="41" fillId="3" borderId="13" xfId="1" applyFont="1" applyFill="1" applyBorder="1" applyAlignment="1">
      <alignment vertical="center"/>
    </xf>
    <xf numFmtId="4" fontId="40" fillId="3" borderId="13" xfId="1" applyNumberFormat="1" applyFont="1" applyFill="1" applyBorder="1" applyAlignment="1">
      <alignment horizontal="center" vertical="center"/>
    </xf>
    <xf numFmtId="0" fontId="41" fillId="0" borderId="13" xfId="1" applyFont="1" applyFill="1" applyBorder="1" applyAlignment="1">
      <alignment vertical="center" wrapText="1" shrinkToFit="1"/>
    </xf>
    <xf numFmtId="0" fontId="40" fillId="0" borderId="13" xfId="1" applyFont="1" applyFill="1" applyBorder="1" applyAlignment="1">
      <alignment vertical="center"/>
    </xf>
    <xf numFmtId="0" fontId="28" fillId="0" borderId="0" xfId="1" applyFont="1" applyBorder="1" applyAlignment="1">
      <alignment vertical="center"/>
    </xf>
    <xf numFmtId="182" fontId="41" fillId="3" borderId="13" xfId="1" applyNumberFormat="1" applyFont="1" applyFill="1" applyBorder="1" applyAlignment="1">
      <alignment vertical="center"/>
    </xf>
    <xf numFmtId="0" fontId="40" fillId="3" borderId="70" xfId="1" applyFont="1" applyFill="1" applyBorder="1" applyAlignment="1">
      <alignment horizontal="center" vertical="center"/>
    </xf>
    <xf numFmtId="0" fontId="41" fillId="3" borderId="70" xfId="1" applyFont="1" applyFill="1" applyBorder="1" applyAlignment="1">
      <alignment vertical="center"/>
    </xf>
    <xf numFmtId="0" fontId="40" fillId="3" borderId="70" xfId="1" applyFont="1" applyFill="1" applyBorder="1" applyAlignment="1">
      <alignment vertical="center"/>
    </xf>
    <xf numFmtId="0" fontId="40" fillId="0" borderId="34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32" fillId="0" borderId="52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9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/>
    </xf>
    <xf numFmtId="10" fontId="4" fillId="0" borderId="10" xfId="6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/>
    </xf>
    <xf numFmtId="10" fontId="3" fillId="0" borderId="10" xfId="6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center" vertical="center"/>
    </xf>
    <xf numFmtId="3" fontId="4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vertical="center" wrapText="1"/>
    </xf>
    <xf numFmtId="10" fontId="3" fillId="0" borderId="10" xfId="6" applyNumberFormat="1" applyFont="1" applyFill="1" applyBorder="1" applyAlignment="1">
      <alignment horizontal="center" vertical="center" wrapText="1"/>
    </xf>
    <xf numFmtId="4" fontId="3" fillId="0" borderId="8" xfId="0" applyNumberFormat="1" applyFont="1" applyBorder="1" applyAlignment="1">
      <alignment vertical="center"/>
    </xf>
    <xf numFmtId="10" fontId="4" fillId="0" borderId="8" xfId="6" applyNumberFormat="1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164" fontId="4" fillId="0" borderId="5" xfId="0" applyNumberFormat="1" applyFont="1" applyFill="1" applyBorder="1" applyAlignment="1">
      <alignment vertical="center"/>
    </xf>
    <xf numFmtId="168" fontId="4" fillId="0" borderId="11" xfId="6" applyNumberFormat="1" applyFont="1" applyFill="1" applyBorder="1" applyAlignment="1">
      <alignment horizontal="center" vertical="center"/>
    </xf>
    <xf numFmtId="4" fontId="4" fillId="0" borderId="8" xfId="0" applyNumberFormat="1" applyFont="1" applyBorder="1" applyAlignment="1">
      <alignment vertical="center"/>
    </xf>
    <xf numFmtId="9" fontId="4" fillId="0" borderId="5" xfId="6" applyNumberFormat="1" applyFont="1" applyBorder="1" applyAlignment="1">
      <alignment horizontal="center" vertical="center"/>
    </xf>
    <xf numFmtId="4" fontId="4" fillId="0" borderId="24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168" fontId="4" fillId="0" borderId="5" xfId="6" applyNumberFormat="1" applyFont="1" applyBorder="1" applyAlignment="1">
      <alignment horizontal="center" vertical="center"/>
    </xf>
    <xf numFmtId="164" fontId="3" fillId="0" borderId="8" xfId="0" applyNumberFormat="1" applyFont="1" applyFill="1" applyBorder="1" applyAlignment="1">
      <alignment vertical="center"/>
    </xf>
    <xf numFmtId="168" fontId="4" fillId="0" borderId="0" xfId="6" applyNumberFormat="1" applyFont="1" applyBorder="1" applyAlignment="1">
      <alignment horizontal="center" vertical="center"/>
    </xf>
    <xf numFmtId="9" fontId="4" fillId="0" borderId="8" xfId="6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vertical="center"/>
    </xf>
    <xf numFmtId="168" fontId="4" fillId="0" borderId="8" xfId="6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0" fillId="0" borderId="0" xfId="7" applyFont="1" applyAlignment="1">
      <alignment vertical="center"/>
    </xf>
    <xf numFmtId="164" fontId="9" fillId="0" borderId="31" xfId="8" applyFont="1" applyFill="1" applyBorder="1" applyAlignment="1">
      <alignment horizontal="center" vertical="center"/>
    </xf>
    <xf numFmtId="164" fontId="12" fillId="0" borderId="0" xfId="7" applyFont="1" applyFill="1" applyAlignment="1">
      <alignment vertical="center"/>
    </xf>
    <xf numFmtId="0" fontId="28" fillId="0" borderId="1" xfId="1" applyFont="1" applyBorder="1" applyAlignment="1">
      <alignment horizontal="center" vertical="center"/>
    </xf>
    <xf numFmtId="0" fontId="28" fillId="0" borderId="2" xfId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6" fillId="0" borderId="19" xfId="2" applyNumberFormat="1" applyFont="1" applyFill="1" applyBorder="1" applyAlignment="1">
      <alignment horizontal="center" vertical="center"/>
    </xf>
    <xf numFmtId="0" fontId="36" fillId="0" borderId="19" xfId="2" applyFont="1" applyFill="1" applyBorder="1" applyAlignment="1">
      <alignment horizontal="center" vertical="center"/>
    </xf>
    <xf numFmtId="0" fontId="41" fillId="3" borderId="39" xfId="1" applyFont="1" applyFill="1" applyBorder="1" applyAlignment="1">
      <alignment horizontal="left" vertical="center" wrapText="1" shrinkToFit="1"/>
    </xf>
    <xf numFmtId="173" fontId="41" fillId="3" borderId="0" xfId="1" applyNumberFormat="1" applyFont="1" applyFill="1" applyBorder="1" applyAlignment="1">
      <alignment horizontal="right" vertical="center"/>
    </xf>
    <xf numFmtId="174" fontId="41" fillId="3" borderId="0" xfId="1" applyNumberFormat="1" applyFont="1" applyFill="1" applyBorder="1" applyAlignment="1">
      <alignment vertical="center"/>
    </xf>
    <xf numFmtId="174" fontId="41" fillId="3" borderId="0" xfId="1" applyNumberFormat="1" applyFont="1" applyFill="1" applyBorder="1" applyAlignment="1">
      <alignment horizontal="right" vertical="center"/>
    </xf>
    <xf numFmtId="0" fontId="32" fillId="3" borderId="20" xfId="1" applyFont="1" applyFill="1" applyBorder="1" applyAlignment="1">
      <alignment horizontal="left" vertical="center" wrapText="1" shrinkToFit="1"/>
    </xf>
    <xf numFmtId="0" fontId="32" fillId="3" borderId="20" xfId="1" applyFont="1" applyFill="1" applyBorder="1" applyAlignment="1">
      <alignment horizontal="center" vertical="center"/>
    </xf>
    <xf numFmtId="173" fontId="32" fillId="3" borderId="20" xfId="1" applyNumberFormat="1" applyFont="1" applyFill="1" applyBorder="1" applyAlignment="1">
      <alignment horizontal="right" vertical="center"/>
    </xf>
    <xf numFmtId="174" fontId="32" fillId="3" borderId="20" xfId="1" applyNumberFormat="1" applyFont="1" applyFill="1" applyBorder="1" applyAlignment="1">
      <alignment vertical="center"/>
    </xf>
    <xf numFmtId="164" fontId="6" fillId="0" borderId="0" xfId="7" applyFont="1" applyAlignment="1">
      <alignment vertical="center"/>
    </xf>
    <xf numFmtId="2" fontId="12" fillId="0" borderId="20" xfId="2" applyNumberFormat="1" applyFont="1" applyFill="1" applyBorder="1" applyAlignment="1">
      <alignment horizontal="center" vertical="center"/>
    </xf>
    <xf numFmtId="169" fontId="12" fillId="0" borderId="20" xfId="2" applyNumberFormat="1" applyFont="1" applyFill="1" applyBorder="1" applyAlignment="1">
      <alignment horizontal="center" vertical="center"/>
    </xf>
    <xf numFmtId="2" fontId="32" fillId="0" borderId="20" xfId="2" applyNumberFormat="1" applyFont="1" applyFill="1" applyBorder="1" applyAlignment="1">
      <alignment horizontal="center" vertical="center"/>
    </xf>
    <xf numFmtId="4" fontId="13" fillId="0" borderId="20" xfId="2" applyNumberFormat="1" applyFont="1" applyFill="1" applyBorder="1" applyAlignment="1">
      <alignment horizontal="center" vertical="center"/>
    </xf>
    <xf numFmtId="4" fontId="12" fillId="0" borderId="20" xfId="2" applyNumberFormat="1" applyFont="1" applyFill="1" applyBorder="1" applyAlignment="1">
      <alignment horizontal="center" vertical="center"/>
    </xf>
    <xf numFmtId="2" fontId="33" fillId="0" borderId="20" xfId="2" applyNumberFormat="1" applyFont="1" applyFill="1" applyBorder="1" applyAlignment="1">
      <alignment horizontal="center" vertical="center"/>
    </xf>
    <xf numFmtId="0" fontId="12" fillId="0" borderId="51" xfId="2" quotePrefix="1" applyFont="1" applyFill="1" applyBorder="1" applyAlignment="1">
      <alignment horizontal="center" vertical="center"/>
    </xf>
    <xf numFmtId="2" fontId="32" fillId="0" borderId="52" xfId="2" applyNumberFormat="1" applyFont="1" applyFill="1" applyBorder="1" applyAlignment="1">
      <alignment horizontal="center" vertical="center"/>
    </xf>
    <xf numFmtId="4" fontId="13" fillId="0" borderId="52" xfId="2" applyNumberFormat="1" applyFont="1" applyFill="1" applyBorder="1" applyAlignment="1">
      <alignment horizontal="center" vertical="center"/>
    </xf>
    <xf numFmtId="0" fontId="14" fillId="0" borderId="13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1" fillId="3" borderId="0" xfId="1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1" xfId="2" applyFont="1" applyBorder="1" applyAlignment="1">
      <alignment vertical="center"/>
    </xf>
    <xf numFmtId="0" fontId="12" fillId="0" borderId="53" xfId="0" applyFont="1" applyFill="1" applyBorder="1" applyAlignment="1">
      <alignment horizontal="center" vertical="center"/>
    </xf>
    <xf numFmtId="4" fontId="36" fillId="0" borderId="13" xfId="2" applyNumberFormat="1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51" xfId="2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12" fillId="0" borderId="20" xfId="2" applyFont="1" applyFill="1" applyBorder="1" applyAlignment="1">
      <alignment horizontal="right" vertical="center"/>
    </xf>
    <xf numFmtId="0" fontId="12" fillId="0" borderId="53" xfId="2" applyFont="1" applyFill="1" applyBorder="1" applyAlignment="1">
      <alignment vertical="center"/>
    </xf>
    <xf numFmtId="0" fontId="12" fillId="0" borderId="54" xfId="2" applyFont="1" applyFill="1" applyBorder="1" applyAlignment="1">
      <alignment horizontal="right" vertical="center"/>
    </xf>
    <xf numFmtId="10" fontId="32" fillId="0" borderId="54" xfId="2" applyNumberFormat="1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51" fillId="0" borderId="0" xfId="2" applyFont="1" applyAlignment="1">
      <alignment vertical="center"/>
    </xf>
    <xf numFmtId="0" fontId="12" fillId="0" borderId="20" xfId="2" applyFont="1" applyBorder="1" applyAlignment="1">
      <alignment horizontal="right" vertical="center"/>
    </xf>
    <xf numFmtId="0" fontId="12" fillId="0" borderId="53" xfId="2" applyFont="1" applyBorder="1" applyAlignment="1">
      <alignment vertical="center"/>
    </xf>
    <xf numFmtId="0" fontId="12" fillId="0" borderId="54" xfId="2" applyFont="1" applyBorder="1" applyAlignment="1">
      <alignment horizontal="right" vertical="center"/>
    </xf>
    <xf numFmtId="0" fontId="12" fillId="0" borderId="20" xfId="2" applyFont="1" applyFill="1" applyBorder="1" applyAlignment="1">
      <alignment vertical="center"/>
    </xf>
    <xf numFmtId="10" fontId="32" fillId="0" borderId="52" xfId="2" applyNumberFormat="1" applyFont="1" applyFill="1" applyBorder="1" applyAlignment="1">
      <alignment vertical="center"/>
    </xf>
    <xf numFmtId="49" fontId="12" fillId="0" borderId="20" xfId="2" applyNumberFormat="1" applyFont="1" applyFill="1" applyBorder="1" applyAlignment="1">
      <alignment horizontal="right" vertical="center"/>
    </xf>
    <xf numFmtId="0" fontId="3" fillId="0" borderId="0" xfId="2" applyBorder="1" applyAlignment="1">
      <alignment vertical="center"/>
    </xf>
    <xf numFmtId="0" fontId="3" fillId="0" borderId="0" xfId="2" applyFont="1" applyBorder="1" applyAlignment="1">
      <alignment vertical="center"/>
    </xf>
    <xf numFmtId="4" fontId="4" fillId="0" borderId="0" xfId="2" applyNumberFormat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4" fontId="3" fillId="0" borderId="0" xfId="2" applyNumberForma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52" fillId="0" borderId="0" xfId="2" applyFont="1" applyAlignment="1">
      <alignment horizontal="center" vertical="center"/>
    </xf>
    <xf numFmtId="0" fontId="53" fillId="0" borderId="0" xfId="2" applyFont="1" applyAlignment="1">
      <alignment horizontal="center" vertical="center"/>
    </xf>
    <xf numFmtId="0" fontId="14" fillId="0" borderId="51" xfId="2" applyFont="1" applyFill="1" applyBorder="1" applyAlignment="1">
      <alignment vertical="center"/>
    </xf>
    <xf numFmtId="0" fontId="14" fillId="0" borderId="20" xfId="2" applyFont="1" applyFill="1" applyBorder="1" applyAlignment="1">
      <alignment horizontal="right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horizontal="right" vertical="center"/>
    </xf>
    <xf numFmtId="49" fontId="12" fillId="0" borderId="20" xfId="2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vertical="center"/>
    </xf>
    <xf numFmtId="4" fontId="12" fillId="0" borderId="54" xfId="0" applyNumberFormat="1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0" fontId="12" fillId="0" borderId="51" xfId="2" applyFont="1" applyFill="1" applyBorder="1" applyAlignment="1">
      <alignment horizontal="left" vertical="center"/>
    </xf>
    <xf numFmtId="0" fontId="12" fillId="0" borderId="53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4" fillId="0" borderId="0" xfId="0" applyFont="1"/>
    <xf numFmtId="0" fontId="14" fillId="0" borderId="0" xfId="0" applyFont="1" applyAlignment="1">
      <alignment vertical="center"/>
    </xf>
    <xf numFmtId="4" fontId="12" fillId="0" borderId="20" xfId="0" applyNumberFormat="1" applyFont="1" applyFill="1" applyBorder="1" applyAlignment="1">
      <alignment vertical="center"/>
    </xf>
    <xf numFmtId="4" fontId="12" fillId="0" borderId="54" xfId="0" applyNumberFormat="1" applyFont="1" applyFill="1" applyBorder="1" applyAlignment="1">
      <alignment vertical="center"/>
    </xf>
    <xf numFmtId="0" fontId="55" fillId="0" borderId="20" xfId="1" applyFont="1" applyBorder="1" applyAlignment="1">
      <alignment vertical="center"/>
    </xf>
    <xf numFmtId="0" fontId="15" fillId="0" borderId="20" xfId="1" applyFont="1" applyBorder="1" applyAlignment="1">
      <alignment vertical="center"/>
    </xf>
    <xf numFmtId="0" fontId="15" fillId="0" borderId="20" xfId="1" applyFont="1" applyBorder="1" applyAlignment="1">
      <alignment horizontal="center" vertical="center"/>
    </xf>
    <xf numFmtId="0" fontId="32" fillId="3" borderId="20" xfId="1" applyFont="1" applyFill="1" applyBorder="1" applyAlignment="1">
      <alignment vertical="center"/>
    </xf>
    <xf numFmtId="4" fontId="32" fillId="3" borderId="20" xfId="1" applyNumberFormat="1" applyFont="1" applyFill="1" applyBorder="1" applyAlignment="1">
      <alignment vertical="center"/>
    </xf>
    <xf numFmtId="0" fontId="33" fillId="3" borderId="20" xfId="1" applyFont="1" applyFill="1" applyBorder="1" applyAlignment="1">
      <alignment vertical="center"/>
    </xf>
    <xf numFmtId="0" fontId="33" fillId="3" borderId="20" xfId="1" applyFont="1" applyFill="1" applyBorder="1" applyAlignment="1">
      <alignment horizontal="center" vertical="center"/>
    </xf>
    <xf numFmtId="4" fontId="33" fillId="3" borderId="20" xfId="1" applyNumberFormat="1" applyFont="1" applyFill="1" applyBorder="1" applyAlignment="1">
      <alignment horizontal="center" vertical="center"/>
    </xf>
    <xf numFmtId="170" fontId="32" fillId="3" borderId="20" xfId="1" applyNumberFormat="1" applyFont="1" applyFill="1" applyBorder="1" applyAlignment="1">
      <alignment vertical="center"/>
    </xf>
    <xf numFmtId="4" fontId="33" fillId="3" borderId="20" xfId="1" applyNumberFormat="1" applyFont="1" applyFill="1" applyBorder="1" applyAlignment="1">
      <alignment vertical="center"/>
    </xf>
    <xf numFmtId="0" fontId="32" fillId="3" borderId="20" xfId="1" applyFont="1" applyFill="1" applyBorder="1" applyAlignment="1">
      <alignment vertical="center" wrapText="1" shrinkToFit="1"/>
    </xf>
    <xf numFmtId="182" fontId="32" fillId="3" borderId="20" xfId="1" applyNumberFormat="1" applyFont="1" applyFill="1" applyBorder="1" applyAlignment="1">
      <alignment vertical="center"/>
    </xf>
    <xf numFmtId="0" fontId="32" fillId="3" borderId="51" xfId="1" applyFont="1" applyFill="1" applyBorder="1" applyAlignment="1">
      <alignment horizontal="center" vertical="center"/>
    </xf>
    <xf numFmtId="0" fontId="32" fillId="3" borderId="51" xfId="1" applyFont="1" applyFill="1" applyBorder="1" applyAlignment="1">
      <alignment horizontal="center" vertical="center" wrapText="1"/>
    </xf>
    <xf numFmtId="10" fontId="15" fillId="0" borderId="20" xfId="1" applyNumberFormat="1" applyFont="1" applyBorder="1" applyAlignment="1">
      <alignment horizontal="center" vertical="center"/>
    </xf>
    <xf numFmtId="174" fontId="33" fillId="3" borderId="20" xfId="1" applyNumberFormat="1" applyFont="1" applyFill="1" applyBorder="1" applyAlignment="1">
      <alignment vertical="center"/>
    </xf>
    <xf numFmtId="174" fontId="32" fillId="3" borderId="20" xfId="1" applyNumberFormat="1" applyFont="1" applyFill="1" applyBorder="1" applyAlignment="1">
      <alignment horizontal="right" vertical="center"/>
    </xf>
    <xf numFmtId="0" fontId="33" fillId="3" borderId="54" xfId="1" applyFont="1" applyFill="1" applyBorder="1" applyAlignment="1">
      <alignment vertical="center"/>
    </xf>
    <xf numFmtId="174" fontId="33" fillId="3" borderId="54" xfId="1" applyNumberFormat="1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32" fillId="0" borderId="20" xfId="0" quotePrefix="1" applyFont="1" applyFill="1" applyBorder="1" applyAlignment="1">
      <alignment vertical="center" wrapText="1"/>
    </xf>
    <xf numFmtId="4" fontId="12" fillId="0" borderId="20" xfId="8" applyNumberFormat="1" applyFont="1" applyFill="1" applyBorder="1" applyAlignment="1">
      <alignment horizontal="right" vertical="center"/>
    </xf>
    <xf numFmtId="0" fontId="32" fillId="0" borderId="51" xfId="0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55" fillId="0" borderId="56" xfId="1" applyFont="1" applyBorder="1" applyAlignment="1">
      <alignment horizontal="center" vertical="center"/>
    </xf>
    <xf numFmtId="0" fontId="33" fillId="3" borderId="51" xfId="1" applyFont="1" applyFill="1" applyBorder="1" applyAlignment="1">
      <alignment horizontal="center" vertical="center"/>
    </xf>
    <xf numFmtId="0" fontId="33" fillId="3" borderId="53" xfId="1" applyFont="1" applyFill="1" applyBorder="1" applyAlignment="1">
      <alignment horizontal="center" vertical="center"/>
    </xf>
    <xf numFmtId="0" fontId="41" fillId="3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53" xfId="2" applyFont="1" applyFill="1" applyBorder="1" applyAlignment="1">
      <alignment horizontal="left" vertical="center"/>
    </xf>
    <xf numFmtId="0" fontId="55" fillId="0" borderId="58" xfId="1" applyFont="1" applyBorder="1" applyAlignment="1">
      <alignment horizontal="center" vertical="center"/>
    </xf>
    <xf numFmtId="0" fontId="55" fillId="0" borderId="51" xfId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3" fontId="0" fillId="0" borderId="0" xfId="0" applyNumberFormat="1" applyAlignment="1">
      <alignment vertical="center"/>
    </xf>
    <xf numFmtId="10" fontId="12" fillId="0" borderId="0" xfId="0" applyNumberFormat="1" applyFont="1" applyFill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179" fontId="12" fillId="0" borderId="20" xfId="7" applyNumberFormat="1" applyFont="1" applyFill="1" applyBorder="1" applyAlignment="1">
      <alignment horizontal="right" vertical="center"/>
    </xf>
    <xf numFmtId="179" fontId="3" fillId="3" borderId="20" xfId="7" applyNumberFormat="1" applyFont="1" applyFill="1" applyBorder="1" applyAlignment="1">
      <alignment vertical="center"/>
    </xf>
    <xf numFmtId="179" fontId="3" fillId="3" borderId="20" xfId="7" applyNumberFormat="1" applyFont="1" applyFill="1" applyBorder="1" applyAlignment="1">
      <alignment horizontal="center" vertical="center"/>
    </xf>
    <xf numFmtId="179" fontId="54" fillId="3" borderId="20" xfId="7" applyNumberFormat="1" applyFont="1" applyFill="1" applyBorder="1" applyAlignment="1">
      <alignment horizontal="center" vertical="center"/>
    </xf>
    <xf numFmtId="179" fontId="3" fillId="3" borderId="0" xfId="7" applyNumberFormat="1" applyFont="1" applyFill="1" applyAlignment="1">
      <alignment vertical="center"/>
    </xf>
    <xf numFmtId="179" fontId="17" fillId="3" borderId="11" xfId="7" applyNumberFormat="1" applyFont="1" applyFill="1" applyBorder="1" applyAlignment="1">
      <alignment vertical="center"/>
    </xf>
    <xf numFmtId="179" fontId="17" fillId="3" borderId="0" xfId="7" applyNumberFormat="1" applyFont="1" applyFill="1" applyBorder="1" applyAlignment="1">
      <alignment vertical="center"/>
    </xf>
    <xf numFmtId="179" fontId="3" fillId="3" borderId="0" xfId="7" applyNumberFormat="1" applyFont="1" applyFill="1" applyBorder="1" applyAlignment="1">
      <alignment vertical="center"/>
    </xf>
    <xf numFmtId="179" fontId="3" fillId="3" borderId="0" xfId="7" applyNumberFormat="1" applyFont="1" applyFill="1" applyAlignment="1">
      <alignment horizontal="center" vertical="center"/>
    </xf>
    <xf numFmtId="179" fontId="4" fillId="3" borderId="0" xfId="7" applyNumberFormat="1" applyFont="1" applyFill="1" applyAlignment="1">
      <alignment horizontal="center" vertical="center"/>
    </xf>
    <xf numFmtId="2" fontId="33" fillId="0" borderId="54" xfId="2" applyNumberFormat="1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 wrapText="1"/>
    </xf>
    <xf numFmtId="0" fontId="33" fillId="4" borderId="57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165" fontId="13" fillId="4" borderId="57" xfId="0" applyNumberFormat="1" applyFont="1" applyFill="1" applyBorder="1" applyAlignment="1">
      <alignment horizontal="center" vertical="center" wrapText="1"/>
    </xf>
    <xf numFmtId="164" fontId="13" fillId="4" borderId="57" xfId="7" applyFont="1" applyFill="1" applyBorder="1" applyAlignment="1">
      <alignment horizontal="center" vertical="center" wrapText="1"/>
    </xf>
    <xf numFmtId="166" fontId="13" fillId="4" borderId="57" xfId="0" applyNumberFormat="1" applyFont="1" applyFill="1" applyBorder="1" applyAlignment="1">
      <alignment horizontal="center" vertical="center" wrapText="1"/>
    </xf>
    <xf numFmtId="10" fontId="13" fillId="4" borderId="58" xfId="0" applyNumberFormat="1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vertical="center" wrapText="1"/>
    </xf>
    <xf numFmtId="0" fontId="13" fillId="5" borderId="20" xfId="0" applyFont="1" applyFill="1" applyBorder="1" applyAlignment="1">
      <alignment horizontal="right" vertical="center" wrapText="1"/>
    </xf>
    <xf numFmtId="164" fontId="13" fillId="5" borderId="20" xfId="7" applyFont="1" applyFill="1" applyBorder="1" applyAlignment="1">
      <alignment horizontal="right" vertical="center" wrapText="1"/>
    </xf>
    <xf numFmtId="10" fontId="13" fillId="5" borderId="52" xfId="5" applyNumberFormat="1" applyFont="1" applyFill="1" applyBorder="1" applyAlignment="1">
      <alignment horizontal="right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left" vertical="center" wrapText="1"/>
    </xf>
    <xf numFmtId="164" fontId="12" fillId="0" borderId="20" xfId="7" applyNumberFormat="1" applyFont="1" applyFill="1" applyBorder="1" applyAlignment="1">
      <alignment horizontal="right" vertical="center" wrapText="1"/>
    </xf>
    <xf numFmtId="164" fontId="12" fillId="0" borderId="20" xfId="7" applyFont="1" applyFill="1" applyBorder="1" applyAlignment="1">
      <alignment horizontal="right" vertical="center" wrapText="1"/>
    </xf>
    <xf numFmtId="0" fontId="12" fillId="0" borderId="20" xfId="0" applyFont="1" applyFill="1" applyBorder="1" applyAlignment="1">
      <alignment horizontal="justify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right" vertical="center" wrapText="1"/>
    </xf>
    <xf numFmtId="0" fontId="13" fillId="0" borderId="20" xfId="7" applyNumberFormat="1" applyFont="1" applyFill="1" applyBorder="1" applyAlignment="1">
      <alignment horizontal="right" vertical="center" wrapText="1"/>
    </xf>
    <xf numFmtId="164" fontId="13" fillId="0" borderId="20" xfId="7" applyFont="1" applyFill="1" applyBorder="1" applyAlignment="1">
      <alignment horizontal="right" vertical="center" wrapText="1"/>
    </xf>
    <xf numFmtId="166" fontId="33" fillId="5" borderId="20" xfId="0" applyNumberFormat="1" applyFont="1" applyFill="1" applyBorder="1" applyAlignment="1">
      <alignment horizontal="left" vertical="center" wrapText="1"/>
    </xf>
    <xf numFmtId="0" fontId="13" fillId="5" borderId="20" xfId="7" applyNumberFormat="1" applyFont="1" applyFill="1" applyBorder="1" applyAlignment="1">
      <alignment horizontal="right" vertical="center" wrapText="1"/>
    </xf>
    <xf numFmtId="4" fontId="12" fillId="3" borderId="20" xfId="0" applyNumberFormat="1" applyFont="1" applyFill="1" applyBorder="1" applyAlignment="1">
      <alignment horizontal="right" vertical="center"/>
    </xf>
    <xf numFmtId="166" fontId="33" fillId="0" borderId="20" xfId="0" applyNumberFormat="1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horizontal="right" vertical="center" wrapText="1"/>
    </xf>
    <xf numFmtId="164" fontId="33" fillId="0" borderId="20" xfId="7" applyFont="1" applyFill="1" applyBorder="1" applyAlignment="1">
      <alignment horizontal="right" vertical="center" wrapText="1"/>
    </xf>
    <xf numFmtId="4" fontId="33" fillId="0" borderId="20" xfId="0" applyNumberFormat="1" applyFont="1" applyFill="1" applyBorder="1" applyAlignment="1">
      <alignment horizontal="right" vertical="center" wrapText="1"/>
    </xf>
    <xf numFmtId="0" fontId="12" fillId="0" borderId="20" xfId="2" applyFont="1" applyFill="1" applyBorder="1" applyAlignment="1">
      <alignment horizontal="justify" vertical="center" wrapText="1"/>
    </xf>
    <xf numFmtId="4" fontId="32" fillId="0" borderId="20" xfId="0" applyNumberFormat="1" applyFont="1" applyFill="1" applyBorder="1" applyAlignment="1">
      <alignment horizontal="right" vertical="center" wrapText="1"/>
    </xf>
    <xf numFmtId="0" fontId="13" fillId="0" borderId="20" xfId="2" applyFont="1" applyFill="1" applyBorder="1" applyAlignment="1">
      <alignment horizontal="right" vertical="center" wrapText="1"/>
    </xf>
    <xf numFmtId="0" fontId="13" fillId="0" borderId="20" xfId="2" applyFont="1" applyFill="1" applyBorder="1" applyAlignment="1">
      <alignment horizontal="left" vertical="center" wrapText="1"/>
    </xf>
    <xf numFmtId="0" fontId="12" fillId="3" borderId="51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center" vertical="center" wrapText="1"/>
    </xf>
    <xf numFmtId="0" fontId="32" fillId="3" borderId="20" xfId="0" applyFont="1" applyFill="1" applyBorder="1" applyAlignment="1">
      <alignment horizontal="justify" vertical="center" wrapText="1"/>
    </xf>
    <xf numFmtId="4" fontId="32" fillId="3" borderId="20" xfId="0" applyNumberFormat="1" applyFont="1" applyFill="1" applyBorder="1" applyAlignment="1">
      <alignment horizontal="right" vertical="center" wrapText="1"/>
    </xf>
    <xf numFmtId="164" fontId="12" fillId="3" borderId="20" xfId="7" applyFont="1" applyFill="1" applyBorder="1" applyAlignment="1">
      <alignment horizontal="right" vertical="center" wrapText="1"/>
    </xf>
    <xf numFmtId="0" fontId="12" fillId="3" borderId="20" xfId="0" applyFont="1" applyFill="1" applyBorder="1" applyAlignment="1">
      <alignment horizontal="right" vertical="center" wrapText="1"/>
    </xf>
    <xf numFmtId="164" fontId="12" fillId="3" borderId="20" xfId="11" applyFont="1" applyFill="1" applyBorder="1" applyAlignment="1">
      <alignment horizontal="right" vertical="center" wrapText="1"/>
    </xf>
    <xf numFmtId="0" fontId="32" fillId="0" borderId="20" xfId="0" applyFont="1" applyFill="1" applyBorder="1" applyAlignment="1">
      <alignment horizontal="justify" vertical="center" wrapText="1"/>
    </xf>
    <xf numFmtId="164" fontId="32" fillId="0" borderId="20" xfId="7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left" vertical="center" wrapText="1"/>
    </xf>
    <xf numFmtId="164" fontId="32" fillId="0" borderId="20" xfId="7" applyFont="1" applyFill="1" applyBorder="1" applyAlignment="1">
      <alignment horizontal="right" vertical="center" wrapText="1"/>
    </xf>
    <xf numFmtId="0" fontId="33" fillId="5" borderId="20" xfId="0" applyFont="1" applyFill="1" applyBorder="1" applyAlignment="1">
      <alignment horizontal="center" vertical="center" wrapText="1"/>
    </xf>
    <xf numFmtId="0" fontId="33" fillId="5" borderId="20" xfId="0" applyFont="1" applyFill="1" applyBorder="1" applyAlignment="1">
      <alignment horizontal="right" vertical="center" wrapText="1"/>
    </xf>
    <xf numFmtId="164" fontId="33" fillId="5" borderId="20" xfId="7" applyFont="1" applyFill="1" applyBorder="1" applyAlignment="1">
      <alignment horizontal="right" vertical="center" wrapText="1"/>
    </xf>
    <xf numFmtId="4" fontId="13" fillId="5" borderId="20" xfId="0" applyNumberFormat="1" applyFont="1" applyFill="1" applyBorder="1" applyAlignment="1">
      <alignment horizontal="right" vertical="center" wrapText="1"/>
    </xf>
    <xf numFmtId="10" fontId="12" fillId="5" borderId="52" xfId="0" applyNumberFormat="1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vertical="center" wrapText="1"/>
    </xf>
    <xf numFmtId="4" fontId="13" fillId="0" borderId="20" xfId="0" applyNumberFormat="1" applyFont="1" applyFill="1" applyBorder="1" applyAlignment="1">
      <alignment horizontal="right" vertical="center" wrapText="1"/>
    </xf>
    <xf numFmtId="2" fontId="32" fillId="0" borderId="20" xfId="2" applyNumberFormat="1" applyFont="1" applyFill="1" applyBorder="1" applyAlignment="1">
      <alignment horizontal="center" vertical="center" wrapText="1"/>
    </xf>
    <xf numFmtId="4" fontId="12" fillId="0" borderId="20" xfId="0" applyNumberFormat="1" applyFont="1" applyFill="1" applyBorder="1" applyAlignment="1">
      <alignment horizontal="right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justify" vertical="center" wrapText="1"/>
    </xf>
    <xf numFmtId="2" fontId="12" fillId="3" borderId="20" xfId="0" applyNumberFormat="1" applyFont="1" applyFill="1" applyBorder="1" applyAlignment="1">
      <alignment horizontal="center" vertical="center" wrapText="1"/>
    </xf>
    <xf numFmtId="4" fontId="12" fillId="3" borderId="20" xfId="0" applyNumberFormat="1" applyFont="1" applyFill="1" applyBorder="1" applyAlignment="1">
      <alignment horizontal="right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33" fillId="3" borderId="20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right" vertical="center" wrapText="1"/>
    </xf>
    <xf numFmtId="2" fontId="13" fillId="3" borderId="20" xfId="0" applyNumberFormat="1" applyFont="1" applyFill="1" applyBorder="1" applyAlignment="1">
      <alignment horizontal="center" vertical="center" wrapText="1"/>
    </xf>
    <xf numFmtId="4" fontId="13" fillId="3" borderId="20" xfId="0" applyNumberFormat="1" applyFont="1" applyFill="1" applyBorder="1" applyAlignment="1">
      <alignment horizontal="right" vertical="center" wrapText="1"/>
    </xf>
    <xf numFmtId="164" fontId="13" fillId="3" borderId="20" xfId="7" applyFont="1" applyFill="1" applyBorder="1" applyAlignment="1">
      <alignment horizontal="right" vertical="center" wrapText="1"/>
    </xf>
    <xf numFmtId="4" fontId="12" fillId="0" borderId="20" xfId="0" applyNumberFormat="1" applyFont="1" applyFill="1" applyBorder="1" applyAlignment="1">
      <alignment vertical="center" wrapText="1"/>
    </xf>
    <xf numFmtId="164" fontId="32" fillId="3" borderId="20" xfId="4" applyNumberFormat="1" applyFont="1" applyFill="1" applyBorder="1" applyAlignment="1">
      <alignment horizontal="right" vertical="center" wrapText="1"/>
    </xf>
    <xf numFmtId="164" fontId="32" fillId="3" borderId="20" xfId="7" applyFont="1" applyFill="1" applyBorder="1" applyAlignment="1">
      <alignment horizontal="right" vertical="center" wrapText="1"/>
    </xf>
    <xf numFmtId="43" fontId="10" fillId="0" borderId="54" xfId="0" applyNumberFormat="1" applyFont="1" applyFill="1" applyBorder="1" applyAlignment="1">
      <alignment vertical="center"/>
    </xf>
    <xf numFmtId="168" fontId="10" fillId="0" borderId="55" xfId="0" applyNumberFormat="1" applyFont="1" applyFill="1" applyBorder="1" applyAlignment="1">
      <alignment horizontal="right" vertical="center"/>
    </xf>
    <xf numFmtId="10" fontId="12" fillId="0" borderId="55" xfId="0" applyNumberFormat="1" applyFont="1" applyFill="1" applyBorder="1" applyAlignment="1">
      <alignment vertical="center"/>
    </xf>
    <xf numFmtId="177" fontId="3" fillId="3" borderId="52" xfId="2" applyNumberFormat="1" applyFill="1" applyBorder="1" applyAlignment="1">
      <alignment vertical="center"/>
    </xf>
    <xf numFmtId="179" fontId="3" fillId="3" borderId="52" xfId="8" applyNumberFormat="1" applyFont="1" applyFill="1" applyBorder="1" applyAlignment="1">
      <alignment vertical="center"/>
    </xf>
    <xf numFmtId="177" fontId="54" fillId="3" borderId="52" xfId="2" applyNumberFormat="1" applyFont="1" applyFill="1" applyBorder="1" applyAlignment="1">
      <alignment horizontal="center" vertical="center"/>
    </xf>
    <xf numFmtId="0" fontId="3" fillId="3" borderId="2" xfId="2" applyFill="1" applyBorder="1" applyAlignment="1">
      <alignment vertical="center"/>
    </xf>
    <xf numFmtId="180" fontId="17" fillId="3" borderId="24" xfId="2" applyNumberFormat="1" applyFont="1" applyFill="1" applyBorder="1" applyAlignment="1">
      <alignment vertical="center"/>
    </xf>
    <xf numFmtId="180" fontId="17" fillId="3" borderId="2" xfId="2" applyNumberFormat="1" applyFont="1" applyFill="1" applyBorder="1" applyAlignment="1">
      <alignment vertical="center"/>
    </xf>
    <xf numFmtId="2" fontId="3" fillId="3" borderId="2" xfId="2" applyNumberFormat="1" applyFill="1" applyBorder="1" applyAlignment="1">
      <alignment vertical="center"/>
    </xf>
    <xf numFmtId="177" fontId="3" fillId="3" borderId="2" xfId="2" applyNumberFormat="1" applyFill="1" applyBorder="1" applyAlignment="1">
      <alignment vertical="center"/>
    </xf>
    <xf numFmtId="3" fontId="14" fillId="0" borderId="51" xfId="2" applyNumberFormat="1" applyFont="1" applyFill="1" applyBorder="1" applyAlignment="1">
      <alignment horizontal="center" vertical="center"/>
    </xf>
    <xf numFmtId="4" fontId="14" fillId="0" borderId="20" xfId="2" applyNumberFormat="1" applyFont="1" applyFill="1" applyBorder="1" applyAlignment="1">
      <alignment horizontal="left" vertical="center"/>
    </xf>
    <xf numFmtId="4" fontId="14" fillId="0" borderId="20" xfId="2" applyNumberFormat="1" applyFont="1" applyBorder="1" applyAlignment="1">
      <alignment horizontal="center" vertical="center"/>
    </xf>
    <xf numFmtId="4" fontId="14" fillId="0" borderId="20" xfId="2" applyNumberFormat="1" applyFont="1" applyFill="1" applyBorder="1" applyAlignment="1">
      <alignment horizontal="center" vertical="center"/>
    </xf>
    <xf numFmtId="4" fontId="14" fillId="0" borderId="20" xfId="2" applyNumberFormat="1" applyFont="1" applyFill="1" applyBorder="1" applyAlignment="1">
      <alignment horizontal="right" vertical="center"/>
    </xf>
    <xf numFmtId="4" fontId="14" fillId="0" borderId="52" xfId="2" applyNumberFormat="1" applyFont="1" applyFill="1" applyBorder="1" applyAlignment="1">
      <alignment horizontal="right" vertical="center"/>
    </xf>
    <xf numFmtId="4" fontId="23" fillId="0" borderId="54" xfId="2" applyNumberFormat="1" applyFont="1" applyBorder="1" applyAlignment="1">
      <alignment horizontal="center" vertical="center"/>
    </xf>
    <xf numFmtId="4" fontId="23" fillId="0" borderId="54" xfId="2" applyNumberFormat="1" applyFont="1" applyBorder="1" applyAlignment="1">
      <alignment vertical="center"/>
    </xf>
    <xf numFmtId="0" fontId="3" fillId="0" borderId="54" xfId="2" applyFont="1" applyBorder="1" applyAlignment="1">
      <alignment vertical="center"/>
    </xf>
    <xf numFmtId="4" fontId="23" fillId="0" borderId="55" xfId="2" applyNumberFormat="1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4" fontId="12" fillId="0" borderId="20" xfId="2" applyNumberFormat="1" applyFont="1" applyBorder="1" applyAlignment="1">
      <alignment horizontal="center" vertical="center"/>
    </xf>
    <xf numFmtId="4" fontId="12" fillId="3" borderId="20" xfId="2" applyNumberFormat="1" applyFont="1" applyFill="1" applyBorder="1" applyAlignment="1">
      <alignment horizontal="center" vertical="center"/>
    </xf>
    <xf numFmtId="4" fontId="13" fillId="0" borderId="20" xfId="2" applyNumberFormat="1" applyFont="1" applyBorder="1" applyAlignment="1">
      <alignment horizontal="center" vertical="center"/>
    </xf>
    <xf numFmtId="169" fontId="12" fillId="0" borderId="20" xfId="2" applyNumberFormat="1" applyFont="1" applyBorder="1" applyAlignment="1">
      <alignment horizontal="center" vertical="center"/>
    </xf>
    <xf numFmtId="4" fontId="13" fillId="0" borderId="52" xfId="2" applyNumberFormat="1" applyFont="1" applyBorder="1" applyAlignment="1">
      <alignment horizontal="center" vertical="center"/>
    </xf>
    <xf numFmtId="0" fontId="12" fillId="0" borderId="51" xfId="2" applyFont="1" applyFill="1" applyBorder="1" applyAlignment="1">
      <alignment horizontal="center" vertical="center"/>
    </xf>
    <xf numFmtId="164" fontId="12" fillId="0" borderId="20" xfId="8" applyFont="1" applyFill="1" applyBorder="1" applyAlignment="1">
      <alignment horizontal="right" vertical="center" wrapText="1"/>
    </xf>
    <xf numFmtId="4" fontId="23" fillId="0" borderId="55" xfId="2" applyNumberFormat="1" applyFont="1" applyBorder="1" applyAlignment="1">
      <alignment vertical="center"/>
    </xf>
    <xf numFmtId="0" fontId="3" fillId="0" borderId="0" xfId="2" applyFill="1" applyAlignment="1">
      <alignment vertical="center"/>
    </xf>
    <xf numFmtId="4" fontId="3" fillId="0" borderId="0" xfId="2" applyNumberFormat="1" applyFill="1" applyAlignment="1">
      <alignment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" fontId="32" fillId="0" borderId="52" xfId="2" applyNumberFormat="1" applyFont="1" applyFill="1" applyBorder="1" applyAlignment="1">
      <alignment horizontal="right" vertical="center"/>
    </xf>
    <xf numFmtId="0" fontId="13" fillId="7" borderId="56" xfId="0" applyFont="1" applyFill="1" applyBorder="1" applyAlignment="1">
      <alignment horizontal="center" vertical="center" wrapText="1"/>
    </xf>
    <xf numFmtId="166" fontId="33" fillId="7" borderId="57" xfId="0" applyNumberFormat="1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0" fontId="33" fillId="7" borderId="58" xfId="0" applyFont="1" applyFill="1" applyBorder="1" applyAlignment="1">
      <alignment horizontal="center" vertical="center" wrapText="1"/>
    </xf>
    <xf numFmtId="0" fontId="33" fillId="5" borderId="52" xfId="0" applyFont="1" applyFill="1" applyBorder="1" applyAlignment="1">
      <alignment horizontal="center" vertical="center" wrapText="1"/>
    </xf>
    <xf numFmtId="164" fontId="12" fillId="0" borderId="52" xfId="7" quotePrefix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left" vertical="center" wrapText="1"/>
    </xf>
    <xf numFmtId="4" fontId="32" fillId="0" borderId="20" xfId="0" applyNumberFormat="1" applyFont="1" applyFill="1" applyBorder="1" applyAlignment="1">
      <alignment horizontal="center" vertical="center" wrapText="1"/>
    </xf>
    <xf numFmtId="4" fontId="33" fillId="0" borderId="20" xfId="0" applyNumberFormat="1" applyFont="1" applyFill="1" applyBorder="1" applyAlignment="1">
      <alignment horizontal="center" vertical="center" wrapText="1"/>
    </xf>
    <xf numFmtId="4" fontId="12" fillId="0" borderId="20" xfId="0" applyNumberFormat="1" applyFont="1" applyFill="1" applyBorder="1" applyAlignment="1">
      <alignment horizontal="center" vertical="center" wrapText="1"/>
    </xf>
    <xf numFmtId="2" fontId="32" fillId="3" borderId="20" xfId="2" applyNumberFormat="1" applyFont="1" applyFill="1" applyBorder="1" applyAlignment="1">
      <alignment horizontal="center" vertical="center" wrapText="1"/>
    </xf>
    <xf numFmtId="4" fontId="12" fillId="3" borderId="20" xfId="0" applyNumberFormat="1" applyFont="1" applyFill="1" applyBorder="1" applyAlignment="1">
      <alignment horizontal="center" vertical="center" wrapText="1"/>
    </xf>
    <xf numFmtId="4" fontId="32" fillId="3" borderId="20" xfId="0" applyNumberFormat="1" applyFont="1" applyFill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justify" vertical="center" wrapText="1"/>
    </xf>
    <xf numFmtId="0" fontId="32" fillId="0" borderId="54" xfId="0" applyFont="1" applyFill="1" applyBorder="1" applyAlignment="1">
      <alignment horizontal="center" vertical="center" wrapText="1"/>
    </xf>
    <xf numFmtId="4" fontId="32" fillId="3" borderId="54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Alignment="1">
      <alignment vertical="center"/>
    </xf>
    <xf numFmtId="10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2" xfId="0" applyBorder="1" applyAlignment="1">
      <alignment vertical="center"/>
    </xf>
    <xf numFmtId="0" fontId="4" fillId="0" borderId="51" xfId="0" applyFont="1" applyBorder="1" applyAlignment="1">
      <alignment horizontal="center" vertical="center"/>
    </xf>
    <xf numFmtId="164" fontId="0" fillId="0" borderId="20" xfId="7" applyFont="1" applyBorder="1" applyAlignment="1">
      <alignment vertical="center"/>
    </xf>
    <xf numFmtId="10" fontId="0" fillId="0" borderId="52" xfId="0" applyNumberFormat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4" fontId="0" fillId="0" borderId="20" xfId="0" applyNumberFormat="1" applyBorder="1" applyAlignment="1">
      <alignment vertical="center"/>
    </xf>
    <xf numFmtId="164" fontId="0" fillId="0" borderId="20" xfId="0" applyNumberFormat="1" applyBorder="1" applyAlignment="1">
      <alignment vertical="center"/>
    </xf>
    <xf numFmtId="0" fontId="0" fillId="0" borderId="53" xfId="0" applyBorder="1" applyAlignment="1">
      <alignment horizontal="center" vertical="center"/>
    </xf>
    <xf numFmtId="164" fontId="5" fillId="0" borderId="54" xfId="7" applyFont="1" applyBorder="1" applyAlignment="1">
      <alignment vertical="center"/>
    </xf>
    <xf numFmtId="168" fontId="5" fillId="0" borderId="55" xfId="0" applyNumberFormat="1" applyFont="1" applyBorder="1" applyAlignment="1">
      <alignment vertical="center"/>
    </xf>
    <xf numFmtId="164" fontId="9" fillId="0" borderId="20" xfId="8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52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10" fontId="2" fillId="0" borderId="20" xfId="6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3" fillId="0" borderId="52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4" fontId="3" fillId="0" borderId="20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3" fontId="3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10" fontId="4" fillId="0" borderId="20" xfId="6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vertical="center"/>
    </xf>
    <xf numFmtId="168" fontId="5" fillId="0" borderId="20" xfId="6" applyNumberFormat="1" applyFont="1" applyFill="1" applyBorder="1" applyAlignment="1">
      <alignment horizontal="center" vertical="center"/>
    </xf>
    <xf numFmtId="4" fontId="5" fillId="0" borderId="20" xfId="0" applyNumberFormat="1" applyFont="1" applyBorder="1" applyAlignment="1">
      <alignment vertical="center"/>
    </xf>
    <xf numFmtId="9" fontId="5" fillId="0" borderId="20" xfId="6" applyNumberFormat="1" applyFont="1" applyBorder="1" applyAlignment="1">
      <alignment horizontal="center" vertical="center"/>
    </xf>
    <xf numFmtId="168" fontId="5" fillId="0" borderId="52" xfId="6" applyNumberFormat="1" applyFont="1" applyBorder="1" applyAlignment="1">
      <alignment horizontal="center" vertical="center"/>
    </xf>
    <xf numFmtId="164" fontId="44" fillId="0" borderId="54" xfId="0" applyNumberFormat="1" applyFont="1" applyFill="1" applyBorder="1" applyAlignment="1">
      <alignment vertical="center"/>
    </xf>
    <xf numFmtId="168" fontId="5" fillId="0" borderId="54" xfId="6" applyNumberFormat="1" applyFont="1" applyBorder="1" applyAlignment="1">
      <alignment horizontal="center" vertical="center"/>
    </xf>
    <xf numFmtId="4" fontId="5" fillId="0" borderId="54" xfId="0" applyNumberFormat="1" applyFont="1" applyBorder="1" applyAlignment="1">
      <alignment vertical="center"/>
    </xf>
    <xf numFmtId="9" fontId="5" fillId="0" borderId="54" xfId="6" applyNumberFormat="1" applyFont="1" applyBorder="1" applyAlignment="1">
      <alignment horizontal="center" vertical="center"/>
    </xf>
    <xf numFmtId="168" fontId="5" fillId="0" borderId="55" xfId="6" applyNumberFormat="1" applyFont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172" fontId="0" fillId="0" borderId="0" xfId="0" applyNumberFormat="1" applyAlignment="1">
      <alignment vertical="center"/>
    </xf>
    <xf numFmtId="0" fontId="13" fillId="0" borderId="51" xfId="0" applyFont="1" applyFill="1" applyBorder="1" applyAlignment="1">
      <alignment horizontal="center" vertical="center"/>
    </xf>
    <xf numFmtId="4" fontId="12" fillId="0" borderId="52" xfId="0" applyNumberFormat="1" applyFont="1" applyFill="1" applyBorder="1" applyAlignment="1">
      <alignment vertical="center"/>
    </xf>
    <xf numFmtId="172" fontId="3" fillId="0" borderId="0" xfId="0" applyNumberFormat="1" applyFont="1" applyAlignment="1">
      <alignment vertical="center"/>
    </xf>
    <xf numFmtId="4" fontId="13" fillId="0" borderId="20" xfId="0" applyNumberFormat="1" applyFont="1" applyFill="1" applyBorder="1" applyAlignment="1">
      <alignment vertical="center"/>
    </xf>
    <xf numFmtId="4" fontId="13" fillId="0" borderId="20" xfId="0" applyNumberFormat="1" applyFont="1" applyFill="1" applyBorder="1" applyAlignment="1">
      <alignment horizontal="right" vertical="center"/>
    </xf>
    <xf numFmtId="4" fontId="13" fillId="0" borderId="52" xfId="0" applyNumberFormat="1" applyFont="1" applyFill="1" applyBorder="1" applyAlignment="1">
      <alignment vertical="center"/>
    </xf>
    <xf numFmtId="4" fontId="12" fillId="0" borderId="55" xfId="0" applyNumberFormat="1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4" fontId="12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51" xfId="2" applyFont="1" applyFill="1" applyBorder="1" applyAlignment="1">
      <alignment vertical="center"/>
    </xf>
    <xf numFmtId="0" fontId="6" fillId="0" borderId="53" xfId="2" applyFont="1" applyFill="1" applyBorder="1" applyAlignment="1">
      <alignment vertical="center"/>
    </xf>
    <xf numFmtId="0" fontId="6" fillId="0" borderId="20" xfId="2" applyFont="1" applyFill="1" applyBorder="1" applyAlignment="1">
      <alignment vertical="center"/>
    </xf>
    <xf numFmtId="10" fontId="41" fillId="0" borderId="52" xfId="2" applyNumberFormat="1" applyFont="1" applyFill="1" applyBorder="1" applyAlignment="1">
      <alignment vertical="center"/>
    </xf>
    <xf numFmtId="4" fontId="6" fillId="0" borderId="54" xfId="2" applyNumberFormat="1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left" vertical="center"/>
    </xf>
    <xf numFmtId="0" fontId="13" fillId="0" borderId="20" xfId="2" applyFont="1" applyBorder="1" applyAlignment="1">
      <alignment horizontal="center" vertical="center" wrapText="1"/>
    </xf>
    <xf numFmtId="4" fontId="12" fillId="3" borderId="52" xfId="8" applyNumberFormat="1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4" fontId="12" fillId="0" borderId="20" xfId="2" applyNumberFormat="1" applyFont="1" applyFill="1" applyBorder="1" applyAlignment="1">
      <alignment horizontal="left" vertical="center"/>
    </xf>
    <xf numFmtId="4" fontId="12" fillId="0" borderId="20" xfId="0" applyNumberFormat="1" applyFont="1" applyBorder="1" applyAlignment="1">
      <alignment horizontal="center" vertical="center"/>
    </xf>
    <xf numFmtId="164" fontId="12" fillId="3" borderId="20" xfId="8" applyFont="1" applyFill="1" applyBorder="1" applyAlignment="1">
      <alignment horizontal="center" vertical="center"/>
    </xf>
    <xf numFmtId="164" fontId="12" fillId="0" borderId="52" xfId="8" applyFont="1" applyFill="1" applyBorder="1" applyAlignment="1">
      <alignment horizontal="center" vertical="center"/>
    </xf>
    <xf numFmtId="4" fontId="13" fillId="0" borderId="54" xfId="2" applyNumberFormat="1" applyFont="1" applyFill="1" applyBorder="1" applyAlignment="1">
      <alignment horizontal="center" vertical="center"/>
    </xf>
    <xf numFmtId="0" fontId="12" fillId="0" borderId="51" xfId="2" applyFont="1" applyFill="1" applyBorder="1" applyAlignment="1">
      <alignment horizontal="center" vertical="center"/>
    </xf>
    <xf numFmtId="2" fontId="12" fillId="0" borderId="20" xfId="2" applyNumberFormat="1" applyFont="1" applyFill="1" applyBorder="1" applyAlignment="1">
      <alignment horizontal="right" vertical="center"/>
    </xf>
    <xf numFmtId="2" fontId="12" fillId="0" borderId="20" xfId="2" applyNumberFormat="1" applyFont="1" applyFill="1" applyBorder="1" applyAlignment="1">
      <alignment horizontal="center" vertical="center"/>
    </xf>
    <xf numFmtId="164" fontId="12" fillId="0" borderId="20" xfId="8" applyFont="1" applyFill="1" applyBorder="1" applyAlignment="1">
      <alignment horizontal="center" vertical="center" wrapText="1"/>
    </xf>
    <xf numFmtId="4" fontId="32" fillId="0" borderId="52" xfId="2" applyNumberFormat="1" applyFont="1" applyFill="1" applyBorder="1" applyAlignment="1">
      <alignment horizontal="right" vertical="center"/>
    </xf>
    <xf numFmtId="0" fontId="13" fillId="0" borderId="52" xfId="2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center" vertical="center" wrapText="1"/>
    </xf>
    <xf numFmtId="4" fontId="32" fillId="0" borderId="20" xfId="2" applyNumberFormat="1" applyFont="1" applyFill="1" applyBorder="1" applyAlignment="1">
      <alignment horizontal="right" vertical="center"/>
    </xf>
    <xf numFmtId="169" fontId="12" fillId="0" borderId="54" xfId="2" applyNumberFormat="1" applyFont="1" applyFill="1" applyBorder="1" applyAlignment="1">
      <alignment horizontal="center" vertical="center"/>
    </xf>
    <xf numFmtId="0" fontId="13" fillId="0" borderId="51" xfId="2" applyFont="1" applyFill="1" applyBorder="1" applyAlignment="1">
      <alignment horizontal="center" vertical="center" wrapText="1"/>
    </xf>
    <xf numFmtId="0" fontId="12" fillId="0" borderId="53" xfId="2" applyFont="1" applyFill="1" applyBorder="1" applyAlignment="1">
      <alignment horizontal="center" vertical="center"/>
    </xf>
    <xf numFmtId="2" fontId="12" fillId="0" borderId="51" xfId="2" applyNumberFormat="1" applyFont="1" applyFill="1" applyBorder="1" applyAlignment="1">
      <alignment horizontal="center" vertical="center"/>
    </xf>
    <xf numFmtId="169" fontId="12" fillId="0" borderId="52" xfId="2" applyNumberFormat="1" applyFont="1" applyFill="1" applyBorder="1" applyAlignment="1">
      <alignment horizontal="center" vertical="center"/>
    </xf>
    <xf numFmtId="4" fontId="13" fillId="0" borderId="53" xfId="2" applyNumberFormat="1" applyFont="1" applyFill="1" applyBorder="1" applyAlignment="1">
      <alignment horizontal="center" vertical="center"/>
    </xf>
    <xf numFmtId="2" fontId="32" fillId="0" borderId="51" xfId="2" applyNumberFormat="1" applyFont="1" applyFill="1" applyBorder="1" applyAlignment="1">
      <alignment horizontal="center" vertical="center"/>
    </xf>
    <xf numFmtId="4" fontId="12" fillId="0" borderId="52" xfId="2" applyNumberFormat="1" applyFont="1" applyFill="1" applyBorder="1" applyAlignment="1">
      <alignment horizontal="left" vertical="center"/>
    </xf>
    <xf numFmtId="0" fontId="12" fillId="0" borderId="122" xfId="2" quotePrefix="1" applyFont="1" applyFill="1" applyBorder="1" applyAlignment="1">
      <alignment horizontal="center" vertical="center"/>
    </xf>
    <xf numFmtId="4" fontId="12" fillId="0" borderId="65" xfId="2" applyNumberFormat="1" applyFont="1" applyFill="1" applyBorder="1" applyAlignment="1">
      <alignment horizontal="left" vertical="center"/>
    </xf>
    <xf numFmtId="2" fontId="12" fillId="0" borderId="122" xfId="2" applyNumberFormat="1" applyFont="1" applyFill="1" applyBorder="1" applyAlignment="1">
      <alignment horizontal="center" vertical="center"/>
    </xf>
    <xf numFmtId="169" fontId="12" fillId="0" borderId="92" xfId="2" applyNumberFormat="1" applyFont="1" applyFill="1" applyBorder="1" applyAlignment="1">
      <alignment horizontal="center" vertical="center"/>
    </xf>
    <xf numFmtId="169" fontId="12" fillId="0" borderId="65" xfId="2" applyNumberFormat="1" applyFont="1" applyFill="1" applyBorder="1" applyAlignment="1">
      <alignment horizontal="center" vertical="center"/>
    </xf>
    <xf numFmtId="0" fontId="12" fillId="0" borderId="122" xfId="2" applyFont="1" applyFill="1" applyBorder="1" applyAlignment="1">
      <alignment horizontal="center" vertical="center"/>
    </xf>
    <xf numFmtId="2" fontId="32" fillId="0" borderId="65" xfId="2" applyNumberFormat="1" applyFont="1" applyFill="1" applyBorder="1" applyAlignment="1">
      <alignment horizontal="center" vertical="center"/>
    </xf>
    <xf numFmtId="2" fontId="32" fillId="0" borderId="122" xfId="2" applyNumberFormat="1" applyFont="1" applyFill="1" applyBorder="1" applyAlignment="1">
      <alignment horizontal="center" vertical="center"/>
    </xf>
    <xf numFmtId="2" fontId="32" fillId="0" borderId="92" xfId="2" applyNumberFormat="1" applyFont="1" applyFill="1" applyBorder="1" applyAlignment="1">
      <alignment horizontal="center" vertical="center"/>
    </xf>
    <xf numFmtId="183" fontId="41" fillId="3" borderId="70" xfId="1" applyNumberFormat="1" applyFont="1" applyFill="1" applyBorder="1" applyAlignment="1">
      <alignment vertical="center"/>
    </xf>
    <xf numFmtId="183" fontId="40" fillId="3" borderId="70" xfId="1" applyNumberFormat="1" applyFont="1" applyFill="1" applyBorder="1" applyAlignment="1">
      <alignment vertical="center"/>
    </xf>
    <xf numFmtId="183" fontId="40" fillId="0" borderId="70" xfId="1" applyNumberFormat="1" applyFont="1" applyFill="1" applyBorder="1" applyAlignment="1">
      <alignment vertical="center"/>
    </xf>
    <xf numFmtId="4" fontId="12" fillId="0" borderId="54" xfId="2" applyNumberFormat="1" applyFont="1" applyFill="1" applyBorder="1" applyAlignment="1">
      <alignment vertical="center"/>
    </xf>
    <xf numFmtId="0" fontId="12" fillId="0" borderId="54" xfId="2" applyFont="1" applyFill="1" applyBorder="1" applyAlignment="1">
      <alignment vertical="center"/>
    </xf>
    <xf numFmtId="0" fontId="14" fillId="0" borderId="70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32" fillId="0" borderId="20" xfId="0" applyFont="1" applyFill="1" applyBorder="1" applyAlignment="1">
      <alignment horizontal="justify" vertical="center"/>
    </xf>
    <xf numFmtId="0" fontId="32" fillId="0" borderId="20" xfId="0" applyFont="1" applyFill="1" applyBorder="1" applyAlignment="1">
      <alignment horizontal="center" vertical="center"/>
    </xf>
    <xf numFmtId="4" fontId="32" fillId="3" borderId="20" xfId="0" applyNumberFormat="1" applyFont="1" applyFill="1" applyBorder="1" applyAlignment="1">
      <alignment horizontal="center" vertical="center"/>
    </xf>
    <xf numFmtId="184" fontId="32" fillId="3" borderId="52" xfId="0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justify" vertical="center"/>
    </xf>
    <xf numFmtId="4" fontId="12" fillId="0" borderId="20" xfId="0" applyNumberFormat="1" applyFont="1" applyFill="1" applyBorder="1" applyAlignment="1">
      <alignment horizontal="center" vertical="center"/>
    </xf>
    <xf numFmtId="0" fontId="32" fillId="3" borderId="20" xfId="0" applyFont="1" applyFill="1" applyBorder="1" applyAlignment="1">
      <alignment horizontal="justify" vertical="center"/>
    </xf>
    <xf numFmtId="0" fontId="32" fillId="3" borderId="20" xfId="0" applyFont="1" applyFill="1" applyBorder="1" applyAlignment="1">
      <alignment horizontal="center" vertical="center"/>
    </xf>
    <xf numFmtId="0" fontId="33" fillId="0" borderId="51" xfId="0" applyFont="1" applyFill="1" applyBorder="1" applyAlignment="1">
      <alignment horizontal="center" vertical="center"/>
    </xf>
    <xf numFmtId="2" fontId="32" fillId="0" borderId="51" xfId="0" applyNumberFormat="1" applyFont="1" applyFill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justify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vertical="center"/>
    </xf>
    <xf numFmtId="4" fontId="32" fillId="3" borderId="52" xfId="0" applyNumberFormat="1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4" fontId="12" fillId="3" borderId="52" xfId="0" applyNumberFormat="1" applyFont="1" applyFill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 wrapText="1"/>
    </xf>
    <xf numFmtId="170" fontId="12" fillId="0" borderId="20" xfId="0" applyNumberFormat="1" applyFont="1" applyBorder="1" applyAlignment="1">
      <alignment horizontal="center" vertical="center"/>
    </xf>
    <xf numFmtId="184" fontId="32" fillId="3" borderId="20" xfId="0" applyNumberFormat="1" applyFont="1" applyFill="1" applyBorder="1" applyAlignment="1">
      <alignment horizontal="center" vertical="center"/>
    </xf>
    <xf numFmtId="4" fontId="32" fillId="0" borderId="20" xfId="0" applyNumberFormat="1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20" xfId="0" applyFont="1" applyBorder="1" applyAlignment="1">
      <alignment horizontal="justify" vertical="center"/>
    </xf>
    <xf numFmtId="0" fontId="32" fillId="3" borderId="20" xfId="0" applyFont="1" applyFill="1" applyBorder="1" applyAlignment="1">
      <alignment vertical="center"/>
    </xf>
    <xf numFmtId="2" fontId="32" fillId="3" borderId="20" xfId="0" applyNumberFormat="1" applyFont="1" applyFill="1" applyBorder="1" applyAlignment="1">
      <alignment vertical="center"/>
    </xf>
    <xf numFmtId="4" fontId="32" fillId="0" borderId="52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2" fillId="0" borderId="53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justify" vertical="center"/>
    </xf>
    <xf numFmtId="0" fontId="32" fillId="3" borderId="54" xfId="0" applyFont="1" applyFill="1" applyBorder="1" applyAlignment="1">
      <alignment horizontal="center" vertical="center"/>
    </xf>
    <xf numFmtId="4" fontId="32" fillId="3" borderId="54" xfId="0" applyNumberFormat="1" applyFont="1" applyFill="1" applyBorder="1" applyAlignment="1">
      <alignment horizontal="center" vertical="center"/>
    </xf>
    <xf numFmtId="4" fontId="32" fillId="3" borderId="55" xfId="0" applyNumberFormat="1" applyFont="1" applyFill="1" applyBorder="1" applyAlignment="1">
      <alignment horizontal="center" vertical="center"/>
    </xf>
    <xf numFmtId="178" fontId="32" fillId="0" borderId="20" xfId="2" applyNumberFormat="1" applyFont="1" applyFill="1" applyBorder="1" applyAlignment="1">
      <alignment horizontal="center" vertical="center"/>
    </xf>
    <xf numFmtId="0" fontId="3" fillId="0" borderId="0" xfId="2" applyAlignment="1">
      <alignment vertical="center" wrapText="1"/>
    </xf>
    <xf numFmtId="0" fontId="3" fillId="0" borderId="0" xfId="2" applyFill="1" applyAlignment="1">
      <alignment vertical="center" wrapText="1"/>
    </xf>
    <xf numFmtId="10" fontId="23" fillId="0" borderId="0" xfId="0" applyNumberFormat="1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177" fontId="4" fillId="3" borderId="61" xfId="2" applyNumberFormat="1" applyFont="1" applyFill="1" applyBorder="1" applyAlignment="1">
      <alignment vertical="center"/>
    </xf>
    <xf numFmtId="177" fontId="4" fillId="3" borderId="58" xfId="2" applyNumberFormat="1" applyFont="1" applyFill="1" applyBorder="1" applyAlignment="1">
      <alignment vertical="center"/>
    </xf>
    <xf numFmtId="177" fontId="4" fillId="3" borderId="52" xfId="2" applyNumberFormat="1" applyFont="1" applyFill="1" applyBorder="1" applyAlignment="1">
      <alignment vertical="center"/>
    </xf>
    <xf numFmtId="177" fontId="4" fillId="3" borderId="55" xfId="2" applyNumberFormat="1" applyFont="1" applyFill="1" applyBorder="1" applyAlignment="1">
      <alignment vertical="center"/>
    </xf>
    <xf numFmtId="4" fontId="3" fillId="3" borderId="0" xfId="2" applyNumberFormat="1" applyFill="1" applyAlignment="1">
      <alignment vertical="center"/>
    </xf>
    <xf numFmtId="43" fontId="3" fillId="0" borderId="0" xfId="2" applyNumberFormat="1" applyAlignment="1">
      <alignment vertical="center"/>
    </xf>
    <xf numFmtId="164" fontId="33" fillId="5" borderId="52" xfId="7" applyFont="1" applyFill="1" applyBorder="1" applyAlignment="1">
      <alignment horizontal="center" vertical="center" wrapText="1"/>
    </xf>
    <xf numFmtId="164" fontId="33" fillId="5" borderId="52" xfId="7" applyFont="1" applyFill="1" applyBorder="1" applyAlignment="1">
      <alignment horizontal="right" vertical="center" wrapText="1"/>
    </xf>
    <xf numFmtId="164" fontId="33" fillId="0" borderId="52" xfId="7" applyFont="1" applyFill="1" applyBorder="1" applyAlignment="1">
      <alignment horizontal="right" vertical="center" wrapText="1"/>
    </xf>
    <xf numFmtId="164" fontId="32" fillId="0" borderId="52" xfId="7" applyFont="1" applyFill="1" applyBorder="1" applyAlignment="1">
      <alignment horizontal="center" vertical="center" wrapText="1"/>
    </xf>
    <xf numFmtId="164" fontId="33" fillId="0" borderId="52" xfId="7" applyFont="1" applyFill="1" applyBorder="1" applyAlignment="1">
      <alignment horizontal="center" vertical="center" wrapText="1"/>
    </xf>
    <xf numFmtId="164" fontId="13" fillId="0" borderId="52" xfId="7" applyFont="1" applyFill="1" applyBorder="1" applyAlignment="1">
      <alignment vertical="center" wrapText="1"/>
    </xf>
    <xf numFmtId="164" fontId="12" fillId="0" borderId="52" xfId="7" applyFont="1" applyFill="1" applyBorder="1" applyAlignment="1">
      <alignment horizontal="right" vertical="center" wrapText="1"/>
    </xf>
    <xf numFmtId="164" fontId="12" fillId="3" borderId="52" xfId="7" applyFont="1" applyFill="1" applyBorder="1" applyAlignment="1">
      <alignment horizontal="right" vertical="center" wrapText="1"/>
    </xf>
    <xf numFmtId="164" fontId="32" fillId="0" borderId="52" xfId="7" applyFont="1" applyFill="1" applyBorder="1" applyAlignment="1">
      <alignment horizontal="right" vertical="center" wrapText="1"/>
    </xf>
    <xf numFmtId="164" fontId="32" fillId="3" borderId="52" xfId="7" applyFont="1" applyFill="1" applyBorder="1" applyAlignment="1">
      <alignment horizontal="right" vertical="center" wrapText="1"/>
    </xf>
    <xf numFmtId="164" fontId="32" fillId="3" borderId="55" xfId="7" applyFont="1" applyFill="1" applyBorder="1" applyAlignment="1">
      <alignment horizontal="right" vertical="center" wrapText="1"/>
    </xf>
    <xf numFmtId="10" fontId="32" fillId="0" borderId="54" xfId="2" applyNumberFormat="1" applyFont="1" applyFill="1" applyBorder="1" applyAlignment="1">
      <alignment horizontal="center" vertical="center"/>
    </xf>
    <xf numFmtId="0" fontId="12" fillId="0" borderId="20" xfId="0" quotePrefix="1" applyFont="1" applyFill="1" applyBorder="1" applyAlignment="1">
      <alignment horizontal="center" vertical="center" wrapText="1"/>
    </xf>
    <xf numFmtId="4" fontId="12" fillId="0" borderId="20" xfId="2" applyNumberFormat="1" applyFont="1" applyFill="1" applyBorder="1" applyAlignment="1">
      <alignment horizontal="center" vertical="center" wrapText="1"/>
    </xf>
    <xf numFmtId="2" fontId="12" fillId="0" borderId="52" xfId="2" applyNumberFormat="1" applyFont="1" applyFill="1" applyBorder="1" applyAlignment="1">
      <alignment horizontal="center" vertical="center" wrapText="1"/>
    </xf>
    <xf numFmtId="0" fontId="12" fillId="0" borderId="54" xfId="2" applyFont="1" applyFill="1" applyBorder="1" applyAlignment="1">
      <alignment horizontal="left" vertical="center"/>
    </xf>
    <xf numFmtId="2" fontId="12" fillId="0" borderId="54" xfId="2" applyNumberFormat="1" applyFont="1" applyFill="1" applyBorder="1" applyAlignment="1">
      <alignment horizontal="right" vertical="center"/>
    </xf>
    <xf numFmtId="2" fontId="12" fillId="0" borderId="54" xfId="2" applyNumberFormat="1" applyFont="1" applyFill="1" applyBorder="1" applyAlignment="1">
      <alignment horizontal="center" vertical="center"/>
    </xf>
    <xf numFmtId="164" fontId="12" fillId="0" borderId="54" xfId="8" applyFont="1" applyFill="1" applyBorder="1" applyAlignment="1">
      <alignment horizontal="right" vertical="center" wrapText="1"/>
    </xf>
    <xf numFmtId="4" fontId="12" fillId="0" borderId="54" xfId="2" applyNumberFormat="1" applyFont="1" applyFill="1" applyBorder="1" applyAlignment="1">
      <alignment horizontal="center" vertical="center"/>
    </xf>
    <xf numFmtId="2" fontId="12" fillId="0" borderId="55" xfId="2" applyNumberFormat="1" applyFont="1" applyFill="1" applyBorder="1" applyAlignment="1">
      <alignment horizontal="right" vertical="center"/>
    </xf>
    <xf numFmtId="0" fontId="3" fillId="3" borderId="20" xfId="2" applyFill="1" applyBorder="1" applyAlignment="1">
      <alignment horizontal="center" vertical="center"/>
    </xf>
    <xf numFmtId="0" fontId="3" fillId="3" borderId="57" xfId="2" applyFill="1" applyBorder="1" applyAlignment="1">
      <alignment vertical="center"/>
    </xf>
    <xf numFmtId="179" fontId="2" fillId="3" borderId="20" xfId="7" applyNumberFormat="1" applyFont="1" applyFill="1" applyBorder="1" applyAlignment="1">
      <alignment horizontal="center" vertical="center" wrapText="1"/>
    </xf>
    <xf numFmtId="164" fontId="2" fillId="3" borderId="20" xfId="8" applyFont="1" applyFill="1" applyBorder="1" applyAlignment="1">
      <alignment horizontal="center" vertical="center" wrapText="1"/>
    </xf>
    <xf numFmtId="164" fontId="3" fillId="3" borderId="20" xfId="8" applyFont="1" applyFill="1" applyBorder="1" applyAlignment="1">
      <alignment horizontal="center" vertical="center" wrapText="1"/>
    </xf>
    <xf numFmtId="164" fontId="3" fillId="3" borderId="52" xfId="8" applyFont="1" applyFill="1" applyBorder="1" applyAlignment="1">
      <alignment horizontal="center" vertical="center" wrapText="1"/>
    </xf>
    <xf numFmtId="0" fontId="2" fillId="3" borderId="20" xfId="2" applyFont="1" applyFill="1" applyBorder="1" applyAlignment="1">
      <alignment vertical="center"/>
    </xf>
    <xf numFmtId="4" fontId="3" fillId="3" borderId="20" xfId="2" applyNumberFormat="1" applyFill="1" applyBorder="1" applyAlignment="1">
      <alignment horizontal="center" vertical="center"/>
    </xf>
    <xf numFmtId="177" fontId="3" fillId="3" borderId="20" xfId="2" applyNumberFormat="1" applyFill="1" applyBorder="1" applyAlignment="1">
      <alignment horizontal="center" vertical="center"/>
    </xf>
    <xf numFmtId="0" fontId="3" fillId="3" borderId="54" xfId="2" applyFill="1" applyBorder="1" applyAlignment="1">
      <alignment vertical="center"/>
    </xf>
    <xf numFmtId="179" fontId="3" fillId="3" borderId="54" xfId="7" applyNumberFormat="1" applyFont="1" applyFill="1" applyBorder="1" applyAlignment="1">
      <alignment vertical="center"/>
    </xf>
    <xf numFmtId="0" fontId="3" fillId="3" borderId="55" xfId="2" applyFill="1" applyBorder="1" applyAlignment="1">
      <alignment vertical="center"/>
    </xf>
    <xf numFmtId="0" fontId="40" fillId="3" borderId="77" xfId="1" applyFont="1" applyFill="1" applyBorder="1" applyAlignment="1">
      <alignment horizontal="center" vertical="center" wrapText="1"/>
    </xf>
    <xf numFmtId="0" fontId="40" fillId="3" borderId="14" xfId="1" applyFont="1" applyFill="1" applyBorder="1" applyAlignment="1">
      <alignment horizontal="center" vertical="center" wrapText="1"/>
    </xf>
    <xf numFmtId="0" fontId="40" fillId="3" borderId="76" xfId="1" applyFont="1" applyFill="1" applyBorder="1" applyAlignment="1">
      <alignment horizontal="center" vertical="center" wrapText="1"/>
    </xf>
    <xf numFmtId="174" fontId="41" fillId="0" borderId="70" xfId="1" applyNumberFormat="1" applyFont="1" applyFill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0" fontId="11" fillId="0" borderId="22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7" xfId="2" applyFont="1" applyBorder="1" applyAlignment="1">
      <alignment vertical="center"/>
    </xf>
    <xf numFmtId="0" fontId="11" fillId="0" borderId="125" xfId="2" applyFont="1" applyBorder="1" applyAlignment="1">
      <alignment vertical="center"/>
    </xf>
    <xf numFmtId="0" fontId="12" fillId="0" borderId="59" xfId="2" applyFont="1" applyFill="1" applyBorder="1" applyAlignment="1">
      <alignment vertical="center"/>
    </xf>
    <xf numFmtId="0" fontId="12" fillId="0" borderId="22" xfId="2" applyFont="1" applyFill="1" applyBorder="1" applyAlignment="1">
      <alignment vertical="center"/>
    </xf>
    <xf numFmtId="0" fontId="12" fillId="0" borderId="23" xfId="2" applyFont="1" applyFill="1" applyBorder="1" applyAlignment="1">
      <alignment vertical="center"/>
    </xf>
    <xf numFmtId="0" fontId="12" fillId="0" borderId="26" xfId="2" applyFont="1" applyFill="1" applyBorder="1" applyAlignment="1">
      <alignment vertical="center"/>
    </xf>
    <xf numFmtId="0" fontId="12" fillId="0" borderId="27" xfId="2" applyFont="1" applyFill="1" applyBorder="1" applyAlignment="1">
      <alignment vertical="center"/>
    </xf>
    <xf numFmtId="0" fontId="12" fillId="0" borderId="125" xfId="2" applyFont="1" applyFill="1" applyBorder="1" applyAlignment="1">
      <alignment vertical="center"/>
    </xf>
    <xf numFmtId="0" fontId="12" fillId="0" borderId="126" xfId="2" applyFont="1" applyFill="1" applyBorder="1" applyAlignment="1">
      <alignment horizontal="right" vertical="center"/>
    </xf>
    <xf numFmtId="2" fontId="41" fillId="3" borderId="13" xfId="1" applyNumberFormat="1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left" vertical="center" wrapText="1"/>
    </xf>
    <xf numFmtId="0" fontId="12" fillId="0" borderId="2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 wrapText="1"/>
    </xf>
    <xf numFmtId="2" fontId="12" fillId="0" borderId="20" xfId="0" applyNumberFormat="1" applyFont="1" applyFill="1" applyBorder="1" applyAlignment="1">
      <alignment horizontal="center" vertical="center" wrapText="1"/>
    </xf>
    <xf numFmtId="0" fontId="40" fillId="3" borderId="0" xfId="1" applyFont="1" applyFill="1" applyBorder="1" applyAlignment="1">
      <alignment horizontal="center" vertical="center"/>
    </xf>
    <xf numFmtId="0" fontId="40" fillId="3" borderId="0" xfId="1" applyFont="1" applyFill="1" applyBorder="1" applyAlignment="1">
      <alignment vertical="center"/>
    </xf>
    <xf numFmtId="174" fontId="40" fillId="3" borderId="0" xfId="1" applyNumberFormat="1" applyFont="1" applyFill="1" applyBorder="1" applyAlignment="1">
      <alignment vertical="center"/>
    </xf>
    <xf numFmtId="0" fontId="27" fillId="34" borderId="91" xfId="1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0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3" fillId="34" borderId="89" xfId="2" applyFont="1" applyFill="1" applyBorder="1" applyAlignment="1">
      <alignment horizontal="center" vertical="center"/>
    </xf>
    <xf numFmtId="0" fontId="14" fillId="34" borderId="0" xfId="2" applyFont="1" applyFill="1" applyAlignment="1">
      <alignment vertical="center"/>
    </xf>
    <xf numFmtId="173" fontId="14" fillId="0" borderId="0" xfId="2" applyNumberFormat="1" applyFont="1" applyAlignment="1">
      <alignment vertical="center"/>
    </xf>
    <xf numFmtId="0" fontId="41" fillId="0" borderId="20" xfId="97" applyFont="1" applyFill="1" applyBorder="1" applyAlignment="1">
      <alignment horizontal="center" vertical="center"/>
    </xf>
    <xf numFmtId="0" fontId="41" fillId="0" borderId="20" xfId="97" applyFont="1" applyBorder="1" applyAlignment="1">
      <alignment vertical="center" wrapText="1"/>
    </xf>
    <xf numFmtId="4" fontId="14" fillId="0" borderId="20" xfId="97" applyNumberFormat="1" applyFont="1" applyBorder="1" applyAlignment="1">
      <alignment horizontal="center" vertical="center"/>
    </xf>
    <xf numFmtId="4" fontId="14" fillId="2" borderId="20" xfId="13" applyNumberFormat="1" applyFont="1" applyFill="1" applyBorder="1" applyAlignment="1">
      <alignment horizontal="center" vertical="center"/>
    </xf>
    <xf numFmtId="4" fontId="14" fillId="0" borderId="20" xfId="97" applyNumberFormat="1" applyFont="1" applyFill="1" applyBorder="1" applyAlignment="1">
      <alignment horizontal="center" vertical="center"/>
    </xf>
    <xf numFmtId="164" fontId="14" fillId="0" borderId="52" xfId="8" applyFont="1" applyBorder="1" applyAlignment="1">
      <alignment horizontal="center" vertical="center" wrapText="1"/>
    </xf>
    <xf numFmtId="0" fontId="41" fillId="0" borderId="20" xfId="97" applyFont="1" applyFill="1" applyBorder="1" applyAlignment="1">
      <alignment horizontal="center" vertical="center" wrapText="1"/>
    </xf>
    <xf numFmtId="0" fontId="41" fillId="0" borderId="20" xfId="97" applyFont="1" applyFill="1" applyBorder="1" applyAlignment="1">
      <alignment vertical="center" wrapText="1"/>
    </xf>
    <xf numFmtId="0" fontId="14" fillId="0" borderId="20" xfId="97" applyFont="1" applyBorder="1" applyAlignment="1">
      <alignment horizontal="center" vertical="center"/>
    </xf>
    <xf numFmtId="2" fontId="41" fillId="0" borderId="20" xfId="97" applyNumberFormat="1" applyFont="1" applyFill="1" applyBorder="1" applyAlignment="1">
      <alignment horizontal="center" vertical="center"/>
    </xf>
    <xf numFmtId="2" fontId="41" fillId="0" borderId="20" xfId="97" applyNumberFormat="1" applyFont="1" applyFill="1" applyBorder="1" applyAlignment="1">
      <alignment horizontal="right" vertical="center"/>
    </xf>
    <xf numFmtId="4" fontId="14" fillId="0" borderId="52" xfId="97" applyNumberFormat="1" applyFont="1" applyBorder="1" applyAlignment="1">
      <alignment vertical="center"/>
    </xf>
    <xf numFmtId="164" fontId="23" fillId="0" borderId="52" xfId="7" applyFont="1" applyFill="1" applyBorder="1" applyAlignment="1">
      <alignment vertical="center"/>
    </xf>
    <xf numFmtId="0" fontId="40" fillId="0" borderId="0" xfId="1" applyFont="1" applyFill="1" applyBorder="1" applyAlignment="1">
      <alignment horizontal="left"/>
    </xf>
    <xf numFmtId="0" fontId="14" fillId="0" borderId="2" xfId="0" applyFont="1" applyBorder="1"/>
    <xf numFmtId="0" fontId="23" fillId="0" borderId="51" xfId="0" applyNumberFormat="1" applyFont="1" applyFill="1" applyBorder="1" applyAlignment="1">
      <alignment horizontal="center" vertical="center"/>
    </xf>
    <xf numFmtId="0" fontId="23" fillId="0" borderId="21" xfId="0" applyNumberFormat="1" applyFont="1" applyFill="1" applyBorder="1" applyAlignment="1">
      <alignment vertical="center"/>
    </xf>
    <xf numFmtId="0" fontId="23" fillId="0" borderId="20" xfId="0" applyNumberFormat="1" applyFont="1" applyFill="1" applyBorder="1" applyAlignment="1">
      <alignment horizontal="center" vertical="center"/>
    </xf>
    <xf numFmtId="0" fontId="23" fillId="0" borderId="52" xfId="7" applyNumberFormat="1" applyFont="1" applyFill="1" applyBorder="1" applyAlignment="1">
      <alignment horizontal="center" vertical="center"/>
    </xf>
    <xf numFmtId="0" fontId="14" fillId="0" borderId="21" xfId="0" applyFont="1" applyBorder="1" applyAlignment="1"/>
    <xf numFmtId="0" fontId="14" fillId="0" borderId="20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14" fontId="14" fillId="0" borderId="51" xfId="0" applyNumberFormat="1" applyFont="1" applyBorder="1" applyAlignment="1">
      <alignment horizontal="center"/>
    </xf>
    <xf numFmtId="1" fontId="14" fillId="0" borderId="21" xfId="0" applyNumberFormat="1" applyFont="1" applyBorder="1" applyAlignment="1"/>
    <xf numFmtId="0" fontId="23" fillId="0" borderId="55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79" fillId="0" borderId="0" xfId="1" applyFont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2" fillId="0" borderId="20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center" vertical="center" wrapText="1"/>
    </xf>
    <xf numFmtId="0" fontId="13" fillId="0" borderId="52" xfId="2" applyFont="1" applyFill="1" applyBorder="1" applyAlignment="1">
      <alignment horizontal="center" vertical="center" wrapText="1"/>
    </xf>
    <xf numFmtId="0" fontId="12" fillId="0" borderId="54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2" fillId="0" borderId="80" xfId="2" applyFont="1" applyFill="1" applyBorder="1" applyAlignment="1">
      <alignment vertical="center"/>
    </xf>
    <xf numFmtId="4" fontId="12" fillId="0" borderId="26" xfId="2" applyNumberFormat="1" applyFont="1" applyFill="1" applyBorder="1" applyAlignment="1">
      <alignment vertical="center"/>
    </xf>
    <xf numFmtId="4" fontId="12" fillId="0" borderId="27" xfId="2" applyNumberFormat="1" applyFont="1" applyFill="1" applyBorder="1" applyAlignment="1">
      <alignment vertical="center"/>
    </xf>
    <xf numFmtId="0" fontId="12" fillId="0" borderId="125" xfId="2" applyFont="1" applyFill="1" applyBorder="1" applyAlignment="1">
      <alignment horizontal="right" vertical="center"/>
    </xf>
    <xf numFmtId="10" fontId="32" fillId="0" borderId="92" xfId="2" applyNumberFormat="1" applyFont="1" applyFill="1" applyBorder="1" applyAlignment="1">
      <alignment horizontal="center" vertical="center"/>
    </xf>
    <xf numFmtId="0" fontId="12" fillId="0" borderId="92" xfId="2" applyFont="1" applyFill="1" applyBorder="1" applyAlignment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33" fillId="0" borderId="20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41" fillId="3" borderId="13" xfId="1" applyNumberFormat="1" applyFont="1" applyFill="1" applyBorder="1" applyAlignment="1">
      <alignment vertical="center"/>
    </xf>
    <xf numFmtId="185" fontId="41" fillId="3" borderId="13" xfId="1" applyNumberFormat="1" applyFont="1" applyFill="1" applyBorder="1" applyAlignment="1">
      <alignment vertical="center"/>
    </xf>
    <xf numFmtId="183" fontId="41" fillId="3" borderId="13" xfId="1" applyNumberFormat="1" applyFont="1" applyFill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12" fillId="0" borderId="53" xfId="0" applyFont="1" applyFill="1" applyBorder="1" applyAlignment="1">
      <alignment horizontal="center" vertical="center" wrapText="1"/>
    </xf>
    <xf numFmtId="0" fontId="23" fillId="0" borderId="20" xfId="2" applyFont="1" applyBorder="1" applyAlignment="1">
      <alignment horizontal="center" vertical="center" wrapText="1"/>
    </xf>
    <xf numFmtId="0" fontId="33" fillId="0" borderId="58" xfId="0" applyFont="1" applyFill="1" applyBorder="1" applyAlignment="1">
      <alignment horizontal="center" vertical="center"/>
    </xf>
    <xf numFmtId="10" fontId="25" fillId="0" borderId="55" xfId="6" applyNumberFormat="1" applyFont="1" applyBorder="1" applyAlignment="1">
      <alignment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173" fontId="41" fillId="3" borderId="13" xfId="1" applyNumberFormat="1" applyFont="1" applyFill="1" applyBorder="1" applyAlignment="1">
      <alignment horizontal="right" vertical="center"/>
    </xf>
    <xf numFmtId="170" fontId="41" fillId="3" borderId="13" xfId="1" applyNumberFormat="1" applyFont="1" applyFill="1" applyBorder="1" applyAlignment="1">
      <alignment horizontal="right" vertical="center"/>
    </xf>
    <xf numFmtId="4" fontId="40" fillId="3" borderId="13" xfId="1" applyNumberFormat="1" applyFont="1" applyFill="1" applyBorder="1" applyAlignment="1">
      <alignment horizontal="right" vertical="center"/>
    </xf>
    <xf numFmtId="4" fontId="41" fillId="3" borderId="13" xfId="1" applyNumberFormat="1" applyFont="1" applyFill="1" applyBorder="1" applyAlignment="1">
      <alignment horizontal="right" vertical="center"/>
    </xf>
    <xf numFmtId="171" fontId="41" fillId="3" borderId="13" xfId="1" applyNumberFormat="1" applyFont="1" applyFill="1" applyBorder="1" applyAlignment="1">
      <alignment horizontal="right" vertical="center"/>
    </xf>
    <xf numFmtId="10" fontId="14" fillId="0" borderId="0" xfId="2" applyNumberFormat="1" applyFont="1" applyAlignment="1">
      <alignment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4" fillId="0" borderId="0" xfId="2" applyFont="1" applyFill="1" applyAlignment="1">
      <alignment vertical="center"/>
    </xf>
    <xf numFmtId="0" fontId="14" fillId="0" borderId="0" xfId="2" applyFont="1" applyFill="1" applyAlignment="1">
      <alignment horizontal="center" vertical="center" wrapText="1"/>
    </xf>
    <xf numFmtId="0" fontId="14" fillId="0" borderId="52" xfId="2" applyFont="1" applyFill="1" applyBorder="1" applyAlignment="1">
      <alignment vertical="center"/>
    </xf>
    <xf numFmtId="4" fontId="14" fillId="0" borderId="0" xfId="2" applyNumberFormat="1" applyFont="1" applyFill="1" applyAlignment="1">
      <alignment vertical="center"/>
    </xf>
    <xf numFmtId="164" fontId="12" fillId="0" borderId="52" xfId="7" applyFont="1" applyFill="1" applyBorder="1" applyAlignment="1">
      <alignment vertical="center"/>
    </xf>
    <xf numFmtId="0" fontId="3" fillId="3" borderId="20" xfId="2" applyFill="1" applyBorder="1" applyAlignment="1">
      <alignment horizontal="center" vertical="center"/>
    </xf>
    <xf numFmtId="179" fontId="3" fillId="3" borderId="20" xfId="7" applyNumberFormat="1" applyFont="1" applyFill="1" applyBorder="1" applyAlignment="1">
      <alignment horizontal="center" vertical="center"/>
    </xf>
    <xf numFmtId="1" fontId="41" fillId="3" borderId="13" xfId="1" applyNumberFormat="1" applyFont="1" applyFill="1" applyBorder="1" applyAlignment="1">
      <alignment horizontal="center" vertical="center"/>
    </xf>
    <xf numFmtId="184" fontId="14" fillId="0" borderId="20" xfId="2" applyNumberFormat="1" applyFont="1" applyFill="1" applyBorder="1" applyAlignment="1">
      <alignment horizontal="center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/>
    </xf>
    <xf numFmtId="10" fontId="32" fillId="0" borderId="54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181" fontId="3" fillId="0" borderId="92" xfId="2" applyNumberFormat="1" applyFill="1" applyBorder="1" applyAlignment="1">
      <alignment vertical="center"/>
    </xf>
    <xf numFmtId="0" fontId="12" fillId="0" borderId="20" xfId="0" applyFont="1" applyFill="1" applyBorder="1" applyAlignment="1">
      <alignment horizontal="center" vertical="center" wrapText="1"/>
    </xf>
    <xf numFmtId="0" fontId="0" fillId="0" borderId="54" xfId="0" applyBorder="1" applyAlignment="1">
      <alignment vertical="center"/>
    </xf>
    <xf numFmtId="0" fontId="13" fillId="0" borderId="20" xfId="2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left" vertical="center"/>
    </xf>
    <xf numFmtId="4" fontId="12" fillId="0" borderId="54" xfId="0" applyNumberFormat="1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51" xfId="0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left" vertical="center"/>
    </xf>
    <xf numFmtId="4" fontId="3" fillId="0" borderId="52" xfId="0" applyNumberFormat="1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12" fillId="0" borderId="20" xfId="2" applyFont="1" applyFill="1" applyBorder="1" applyAlignment="1">
      <alignment horizontal="left" vertical="center"/>
    </xf>
    <xf numFmtId="4" fontId="32" fillId="0" borderId="20" xfId="0" applyNumberFormat="1" applyFont="1" applyFill="1" applyBorder="1" applyAlignment="1">
      <alignment horizontal="center" vertical="center"/>
    </xf>
    <xf numFmtId="4" fontId="32" fillId="0" borderId="54" xfId="0" applyNumberFormat="1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4" fontId="13" fillId="3" borderId="20" xfId="0" applyNumberFormat="1" applyFont="1" applyFill="1" applyBorder="1" applyAlignment="1">
      <alignment horizontal="center" vertical="center"/>
    </xf>
    <xf numFmtId="4" fontId="13" fillId="3" borderId="52" xfId="0" applyNumberFormat="1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11" fillId="0" borderId="124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70" xfId="2" applyFont="1" applyFill="1" applyBorder="1" applyAlignment="1">
      <alignment horizontal="center" vertical="center"/>
    </xf>
    <xf numFmtId="0" fontId="11" fillId="0" borderId="73" xfId="2" applyFont="1" applyFill="1" applyBorder="1" applyAlignment="1">
      <alignment horizontal="center" vertical="center"/>
    </xf>
    <xf numFmtId="0" fontId="11" fillId="0" borderId="71" xfId="2" applyFont="1" applyFill="1" applyBorder="1" applyAlignment="1">
      <alignment horizontal="center" vertical="center"/>
    </xf>
    <xf numFmtId="0" fontId="11" fillId="0" borderId="72" xfId="2" applyFont="1" applyFill="1" applyBorder="1" applyAlignment="1">
      <alignment horizontal="center" vertical="center"/>
    </xf>
    <xf numFmtId="4" fontId="11" fillId="0" borderId="72" xfId="2" applyNumberFormat="1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4" fillId="0" borderId="74" xfId="2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0" fontId="14" fillId="0" borderId="33" xfId="2" applyFont="1" applyBorder="1" applyAlignment="1">
      <alignment horizontal="center" vertical="center" wrapText="1"/>
    </xf>
    <xf numFmtId="0" fontId="14" fillId="0" borderId="84" xfId="2" applyFont="1" applyBorder="1" applyAlignment="1">
      <alignment horizontal="center" vertical="center" wrapText="1"/>
    </xf>
    <xf numFmtId="0" fontId="14" fillId="0" borderId="86" xfId="2" applyFont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17" fontId="33" fillId="0" borderId="44" xfId="0" applyNumberFormat="1" applyFont="1" applyBorder="1" applyAlignment="1">
      <alignment horizontal="center" vertical="center"/>
    </xf>
    <xf numFmtId="17" fontId="33" fillId="0" borderId="3" xfId="0" applyNumberFormat="1" applyFont="1" applyBorder="1" applyAlignment="1">
      <alignment horizontal="center" vertical="center"/>
    </xf>
    <xf numFmtId="17" fontId="33" fillId="0" borderId="4" xfId="0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1" fillId="0" borderId="57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2" fillId="0" borderId="20" xfId="2" applyFont="1" applyFill="1" applyBorder="1" applyAlignment="1">
      <alignment horizontal="left" vertical="center"/>
    </xf>
    <xf numFmtId="0" fontId="12" fillId="0" borderId="52" xfId="2" applyFont="1" applyFill="1" applyBorder="1" applyAlignment="1">
      <alignment horizontal="left" vertical="center"/>
    </xf>
    <xf numFmtId="10" fontId="32" fillId="0" borderId="20" xfId="2" applyNumberFormat="1" applyFont="1" applyFill="1" applyBorder="1" applyAlignment="1">
      <alignment horizontal="center" vertical="center"/>
    </xf>
    <xf numFmtId="4" fontId="12" fillId="0" borderId="54" xfId="2" applyNumberFormat="1" applyFont="1" applyFill="1" applyBorder="1" applyAlignment="1">
      <alignment horizontal="left" vertical="center"/>
    </xf>
    <xf numFmtId="0" fontId="12" fillId="0" borderId="20" xfId="2" applyFont="1" applyFill="1" applyBorder="1" applyAlignment="1">
      <alignment horizontal="center" vertical="center" wrapText="1"/>
    </xf>
    <xf numFmtId="0" fontId="12" fillId="0" borderId="52" xfId="2" applyFont="1" applyFill="1" applyBorder="1" applyAlignment="1">
      <alignment horizontal="center" vertical="center" wrapText="1"/>
    </xf>
    <xf numFmtId="0" fontId="12" fillId="0" borderId="54" xfId="2" applyFont="1" applyFill="1" applyBorder="1" applyAlignment="1">
      <alignment horizontal="center" vertical="center" wrapText="1"/>
    </xf>
    <xf numFmtId="0" fontId="12" fillId="0" borderId="55" xfId="2" applyFont="1" applyFill="1" applyBorder="1" applyAlignment="1">
      <alignment horizontal="center" vertical="center" wrapText="1"/>
    </xf>
    <xf numFmtId="0" fontId="14" fillId="0" borderId="75" xfId="2" applyFont="1" applyBorder="1" applyAlignment="1">
      <alignment horizontal="center" vertical="center" wrapText="1"/>
    </xf>
    <xf numFmtId="0" fontId="14" fillId="0" borderId="70" xfId="2" applyFont="1" applyBorder="1" applyAlignment="1">
      <alignment horizontal="center" vertical="center" wrapText="1"/>
    </xf>
    <xf numFmtId="0" fontId="14" fillId="0" borderId="32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4" fontId="32" fillId="0" borderId="21" xfId="0" applyNumberFormat="1" applyFont="1" applyFill="1" applyBorder="1" applyAlignment="1">
      <alignment horizontal="center" vertical="center"/>
    </xf>
    <xf numFmtId="4" fontId="32" fillId="0" borderId="22" xfId="0" applyNumberFormat="1" applyFont="1" applyFill="1" applyBorder="1" applyAlignment="1">
      <alignment horizontal="center" vertical="center"/>
    </xf>
    <xf numFmtId="4" fontId="32" fillId="0" borderId="23" xfId="0" applyNumberFormat="1" applyFont="1" applyFill="1" applyBorder="1" applyAlignment="1">
      <alignment horizontal="center" vertical="center"/>
    </xf>
    <xf numFmtId="4" fontId="32" fillId="0" borderId="82" xfId="0" applyNumberFormat="1" applyFont="1" applyFill="1" applyBorder="1" applyAlignment="1">
      <alignment horizontal="center" vertical="center"/>
    </xf>
    <xf numFmtId="4" fontId="32" fillId="0" borderId="69" xfId="0" applyNumberFormat="1" applyFont="1" applyFill="1" applyBorder="1" applyAlignment="1">
      <alignment horizontal="center" vertical="center"/>
    </xf>
    <xf numFmtId="4" fontId="32" fillId="0" borderId="115" xfId="0" applyNumberFormat="1" applyFont="1" applyFill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184" fontId="33" fillId="0" borderId="21" xfId="0" applyNumberFormat="1" applyFont="1" applyBorder="1" applyAlignment="1">
      <alignment horizontal="center" vertical="center"/>
    </xf>
    <xf numFmtId="184" fontId="33" fillId="0" borderId="60" xfId="0" applyNumberFormat="1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33" fillId="3" borderId="21" xfId="0" applyFont="1" applyFill="1" applyBorder="1" applyAlignment="1">
      <alignment horizontal="left" vertical="center" wrapText="1"/>
    </xf>
    <xf numFmtId="0" fontId="33" fillId="3" borderId="22" xfId="0" applyFont="1" applyFill="1" applyBorder="1" applyAlignment="1">
      <alignment horizontal="left" vertical="center" wrapText="1"/>
    </xf>
    <xf numFmtId="0" fontId="33" fillId="3" borderId="23" xfId="0" applyFont="1" applyFill="1" applyBorder="1" applyAlignment="1">
      <alignment horizontal="left" vertical="center" wrapText="1"/>
    </xf>
    <xf numFmtId="0" fontId="13" fillId="0" borderId="12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33" fillId="0" borderId="92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4" fontId="33" fillId="0" borderId="92" xfId="0" applyNumberFormat="1" applyFont="1" applyBorder="1" applyAlignment="1">
      <alignment horizontal="center" vertical="center" wrapText="1"/>
    </xf>
    <xf numFmtId="4" fontId="33" fillId="0" borderId="46" xfId="0" applyNumberFormat="1" applyFont="1" applyBorder="1" applyAlignment="1">
      <alignment horizontal="center" vertical="center" wrapText="1"/>
    </xf>
    <xf numFmtId="4" fontId="33" fillId="0" borderId="21" xfId="0" applyNumberFormat="1" applyFont="1" applyBorder="1" applyAlignment="1">
      <alignment horizontal="center" vertical="center" wrapText="1"/>
    </xf>
    <xf numFmtId="4" fontId="33" fillId="0" borderId="22" xfId="0" applyNumberFormat="1" applyFont="1" applyBorder="1" applyAlignment="1">
      <alignment horizontal="center" vertical="center" wrapText="1"/>
    </xf>
    <xf numFmtId="4" fontId="33" fillId="0" borderId="23" xfId="0" applyNumberFormat="1" applyFont="1" applyBorder="1" applyAlignment="1">
      <alignment horizontal="center" vertical="center" wrapText="1"/>
    </xf>
    <xf numFmtId="4" fontId="33" fillId="0" borderId="26" xfId="0" applyNumberFormat="1" applyFont="1" applyBorder="1" applyAlignment="1">
      <alignment horizontal="center" vertical="center" wrapText="1"/>
    </xf>
    <xf numFmtId="4" fontId="33" fillId="0" borderId="125" xfId="0" applyNumberFormat="1" applyFont="1" applyBorder="1" applyAlignment="1">
      <alignment horizontal="center" vertical="center" wrapText="1"/>
    </xf>
    <xf numFmtId="4" fontId="33" fillId="0" borderId="127" xfId="0" applyNumberFormat="1" applyFont="1" applyBorder="1" applyAlignment="1">
      <alignment horizontal="center" vertical="center" wrapText="1"/>
    </xf>
    <xf numFmtId="4" fontId="33" fillId="0" borderId="126" xfId="0" applyNumberFormat="1" applyFont="1" applyBorder="1" applyAlignment="1">
      <alignment horizontal="center" vertical="center" wrapText="1"/>
    </xf>
    <xf numFmtId="4" fontId="33" fillId="0" borderId="65" xfId="0" applyNumberFormat="1" applyFont="1" applyBorder="1" applyAlignment="1">
      <alignment horizontal="center" vertical="center" wrapText="1"/>
    </xf>
    <xf numFmtId="4" fontId="33" fillId="0" borderId="50" xfId="0" applyNumberFormat="1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left" vertical="center" wrapText="1"/>
    </xf>
    <xf numFmtId="4" fontId="13" fillId="3" borderId="21" xfId="0" applyNumberFormat="1" applyFont="1" applyFill="1" applyBorder="1" applyAlignment="1">
      <alignment horizontal="center" vertical="center"/>
    </xf>
    <xf numFmtId="4" fontId="13" fillId="3" borderId="60" xfId="0" applyNumberFormat="1" applyFont="1" applyFill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22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184" fontId="13" fillId="3" borderId="21" xfId="0" applyNumberFormat="1" applyFont="1" applyFill="1" applyBorder="1" applyAlignment="1">
      <alignment horizontal="center" vertical="center"/>
    </xf>
    <xf numFmtId="184" fontId="13" fillId="3" borderId="60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left" vertical="center" wrapText="1"/>
    </xf>
    <xf numFmtId="0" fontId="33" fillId="0" borderId="22" xfId="0" applyFont="1" applyFill="1" applyBorder="1" applyAlignment="1">
      <alignment horizontal="left" vertical="center" wrapText="1"/>
    </xf>
    <xf numFmtId="0" fontId="33" fillId="0" borderId="23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/>
    </xf>
    <xf numFmtId="0" fontId="18" fillId="0" borderId="22" xfId="0" applyFont="1" applyFill="1" applyBorder="1" applyAlignment="1">
      <alignment horizontal="left" vertical="center"/>
    </xf>
    <xf numFmtId="0" fontId="18" fillId="0" borderId="23" xfId="0" applyFont="1" applyFill="1" applyBorder="1" applyAlignment="1">
      <alignment horizontal="left" vertical="center"/>
    </xf>
    <xf numFmtId="17" fontId="33" fillId="0" borderId="12" xfId="0" applyNumberFormat="1" applyFont="1" applyBorder="1" applyAlignment="1">
      <alignment horizontal="center" vertical="center"/>
    </xf>
    <xf numFmtId="17" fontId="33" fillId="0" borderId="11" xfId="0" applyNumberFormat="1" applyFont="1" applyBorder="1" applyAlignment="1">
      <alignment horizontal="center" vertical="center"/>
    </xf>
    <xf numFmtId="17" fontId="33" fillId="0" borderId="24" xfId="0" applyNumberFormat="1" applyFont="1" applyBorder="1" applyAlignment="1">
      <alignment horizontal="center" vertical="center"/>
    </xf>
    <xf numFmtId="0" fontId="11" fillId="0" borderId="123" xfId="2" applyFont="1" applyBorder="1" applyAlignment="1">
      <alignment horizontal="center" vertical="center"/>
    </xf>
    <xf numFmtId="0" fontId="11" fillId="0" borderId="63" xfId="2" applyFont="1" applyBorder="1" applyAlignment="1">
      <alignment horizontal="center" vertical="center"/>
    </xf>
    <xf numFmtId="0" fontId="11" fillId="0" borderId="64" xfId="2" applyFont="1" applyBorder="1" applyAlignment="1">
      <alignment horizontal="center" vertical="center"/>
    </xf>
    <xf numFmtId="0" fontId="11" fillId="0" borderId="59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2" fillId="0" borderId="21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10" fontId="32" fillId="0" borderId="21" xfId="2" applyNumberFormat="1" applyFont="1" applyFill="1" applyBorder="1" applyAlignment="1">
      <alignment horizontal="center" vertical="center"/>
    </xf>
    <xf numFmtId="10" fontId="32" fillId="0" borderId="22" xfId="2" applyNumberFormat="1" applyFont="1" applyFill="1" applyBorder="1" applyAlignment="1">
      <alignment horizontal="center" vertical="center"/>
    </xf>
    <xf numFmtId="10" fontId="32" fillId="0" borderId="23" xfId="2" applyNumberFormat="1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center" vertical="center" wrapText="1"/>
    </xf>
    <xf numFmtId="0" fontId="12" fillId="0" borderId="27" xfId="2" applyFont="1" applyFill="1" applyBorder="1" applyAlignment="1">
      <alignment horizontal="center" vertical="center" wrapText="1"/>
    </xf>
    <xf numFmtId="0" fontId="12" fillId="0" borderId="61" xfId="2" applyFont="1" applyFill="1" applyBorder="1" applyAlignment="1">
      <alignment horizontal="center" vertical="center" wrapText="1"/>
    </xf>
    <xf numFmtId="0" fontId="12" fillId="0" borderId="96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97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23" xfId="2" applyFont="1" applyFill="1" applyBorder="1" applyAlignment="1">
      <alignment horizontal="left" vertical="center"/>
    </xf>
    <xf numFmtId="4" fontId="12" fillId="0" borderId="82" xfId="2" applyNumberFormat="1" applyFont="1" applyFill="1" applyBorder="1" applyAlignment="1">
      <alignment horizontal="left" vertical="center"/>
    </xf>
    <xf numFmtId="4" fontId="12" fillId="0" borderId="69" xfId="2" applyNumberFormat="1" applyFont="1" applyFill="1" applyBorder="1" applyAlignment="1">
      <alignment horizontal="left" vertical="center"/>
    </xf>
    <xf numFmtId="4" fontId="12" fillId="0" borderId="115" xfId="2" applyNumberFormat="1" applyFont="1" applyFill="1" applyBorder="1" applyAlignment="1">
      <alignment horizontal="left" vertical="center"/>
    </xf>
    <xf numFmtId="164" fontId="12" fillId="3" borderId="92" xfId="8" applyFont="1" applyFill="1" applyBorder="1" applyAlignment="1">
      <alignment horizontal="center" vertical="center"/>
    </xf>
    <xf numFmtId="164" fontId="12" fillId="3" borderId="46" xfId="8" applyFont="1" applyFill="1" applyBorder="1" applyAlignment="1">
      <alignment horizontal="center" vertical="center"/>
    </xf>
    <xf numFmtId="4" fontId="12" fillId="3" borderId="65" xfId="8" applyNumberFormat="1" applyFont="1" applyFill="1" applyBorder="1" applyAlignment="1">
      <alignment horizontal="center" vertical="center"/>
    </xf>
    <xf numFmtId="4" fontId="12" fillId="3" borderId="50" xfId="8" applyNumberFormat="1" applyFont="1" applyFill="1" applyBorder="1" applyAlignment="1">
      <alignment horizontal="center" vertical="center"/>
    </xf>
    <xf numFmtId="0" fontId="81" fillId="0" borderId="56" xfId="2" applyFont="1" applyBorder="1" applyAlignment="1">
      <alignment horizontal="center" vertical="center" wrapText="1"/>
    </xf>
    <xf numFmtId="0" fontId="81" fillId="0" borderId="57" xfId="2" applyFont="1" applyBorder="1" applyAlignment="1">
      <alignment horizontal="center" vertical="center" wrapText="1"/>
    </xf>
    <xf numFmtId="0" fontId="81" fillId="0" borderId="51" xfId="2" applyFont="1" applyBorder="1" applyAlignment="1">
      <alignment horizontal="center" vertical="center" wrapText="1"/>
    </xf>
    <xf numFmtId="0" fontId="81" fillId="0" borderId="20" xfId="2" applyFont="1" applyBorder="1" applyAlignment="1">
      <alignment horizontal="center" vertical="center" wrapText="1"/>
    </xf>
    <xf numFmtId="4" fontId="12" fillId="0" borderId="54" xfId="2" applyNumberFormat="1" applyFont="1" applyBorder="1" applyAlignment="1">
      <alignment horizontal="left" vertical="center"/>
    </xf>
    <xf numFmtId="10" fontId="32" fillId="0" borderId="54" xfId="2" applyNumberFormat="1" applyFont="1" applyBorder="1" applyAlignment="1">
      <alignment horizontal="center" vertical="center"/>
    </xf>
    <xf numFmtId="0" fontId="32" fillId="0" borderId="54" xfId="2" applyNumberFormat="1" applyFont="1" applyBorder="1" applyAlignment="1">
      <alignment horizontal="center" vertical="center"/>
    </xf>
    <xf numFmtId="49" fontId="32" fillId="0" borderId="20" xfId="2" applyNumberFormat="1" applyFont="1" applyBorder="1" applyAlignment="1">
      <alignment horizontal="center" vertical="center"/>
    </xf>
    <xf numFmtId="0" fontId="32" fillId="0" borderId="20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32" fillId="0" borderId="26" xfId="2" applyFont="1" applyFill="1" applyBorder="1" applyAlignment="1">
      <alignment horizontal="center" vertical="center" wrapText="1"/>
    </xf>
    <xf numFmtId="0" fontId="32" fillId="0" borderId="61" xfId="2" applyFont="1" applyFill="1" applyBorder="1" applyAlignment="1">
      <alignment horizontal="center" vertical="center" wrapText="1"/>
    </xf>
    <xf numFmtId="0" fontId="32" fillId="0" borderId="96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0" fontId="32" fillId="0" borderId="97" xfId="2" applyFont="1" applyFill="1" applyBorder="1" applyAlignment="1">
      <alignment horizontal="center" vertical="center" wrapText="1"/>
    </xf>
    <xf numFmtId="0" fontId="32" fillId="0" borderId="4" xfId="2" applyFont="1" applyFill="1" applyBorder="1" applyAlignment="1">
      <alignment horizontal="center" vertical="center" wrapText="1"/>
    </xf>
    <xf numFmtId="0" fontId="12" fillId="0" borderId="21" xfId="2" applyFont="1" applyBorder="1" applyAlignment="1">
      <alignment horizontal="left" vertical="center"/>
    </xf>
    <xf numFmtId="0" fontId="12" fillId="0" borderId="22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53" xfId="2" applyFont="1" applyBorder="1" applyAlignment="1">
      <alignment horizontal="center" vertical="center"/>
    </xf>
    <xf numFmtId="0" fontId="13" fillId="0" borderId="54" xfId="2" applyFont="1" applyBorder="1" applyAlignment="1">
      <alignment horizontal="center" vertical="center"/>
    </xf>
    <xf numFmtId="4" fontId="13" fillId="0" borderId="54" xfId="2" applyNumberFormat="1" applyFont="1" applyBorder="1" applyAlignment="1">
      <alignment horizontal="center" vertical="center"/>
    </xf>
    <xf numFmtId="4" fontId="13" fillId="0" borderId="55" xfId="2" applyNumberFormat="1" applyFont="1" applyBorder="1" applyAlignment="1">
      <alignment horizontal="center" vertical="center"/>
    </xf>
    <xf numFmtId="0" fontId="11" fillId="0" borderId="113" xfId="2" applyFont="1" applyBorder="1" applyAlignment="1">
      <alignment horizontal="center" vertical="center"/>
    </xf>
    <xf numFmtId="0" fontId="11" fillId="0" borderId="93" xfId="2" applyFont="1" applyBorder="1" applyAlignment="1">
      <alignment horizontal="center" vertical="center"/>
    </xf>
    <xf numFmtId="0" fontId="11" fillId="0" borderId="114" xfId="2" applyFont="1" applyBorder="1" applyAlignment="1">
      <alignment horizontal="center" vertical="center"/>
    </xf>
    <xf numFmtId="0" fontId="13" fillId="0" borderId="56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57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 wrapText="1"/>
    </xf>
    <xf numFmtId="0" fontId="13" fillId="0" borderId="58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2" fillId="3" borderId="122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4" fontId="12" fillId="0" borderId="92" xfId="2" applyNumberFormat="1" applyFont="1" applyFill="1" applyBorder="1" applyAlignment="1">
      <alignment horizontal="left" vertical="center"/>
    </xf>
    <xf numFmtId="4" fontId="12" fillId="0" borderId="46" xfId="2" applyNumberFormat="1" applyFont="1" applyFill="1" applyBorder="1" applyAlignment="1">
      <alignment horizontal="left" vertical="center"/>
    </xf>
    <xf numFmtId="4" fontId="12" fillId="0" borderId="92" xfId="0" applyNumberFormat="1" applyFont="1" applyFill="1" applyBorder="1" applyAlignment="1">
      <alignment horizontal="center" vertical="center"/>
    </xf>
    <xf numFmtId="4" fontId="12" fillId="0" borderId="46" xfId="0" applyNumberFormat="1" applyFont="1" applyFill="1" applyBorder="1" applyAlignment="1">
      <alignment horizontal="center" vertical="center"/>
    </xf>
    <xf numFmtId="4" fontId="12" fillId="0" borderId="92" xfId="0" applyNumberFormat="1" applyFont="1" applyBorder="1" applyAlignment="1">
      <alignment horizontal="center" vertical="center"/>
    </xf>
    <xf numFmtId="4" fontId="12" fillId="0" borderId="46" xfId="0" applyNumberFormat="1" applyFont="1" applyBorder="1" applyAlignment="1">
      <alignment horizontal="center" vertical="center"/>
    </xf>
    <xf numFmtId="4" fontId="3" fillId="3" borderId="51" xfId="2" applyNumberFormat="1" applyFill="1" applyBorder="1" applyAlignment="1">
      <alignment horizontal="left" vertical="center"/>
    </xf>
    <xf numFmtId="0" fontId="3" fillId="3" borderId="20" xfId="2" applyFill="1" applyBorder="1" applyAlignment="1">
      <alignment horizontal="left" vertical="center"/>
    </xf>
    <xf numFmtId="0" fontId="3" fillId="3" borderId="123" xfId="2" applyFill="1" applyBorder="1" applyAlignment="1">
      <alignment horizontal="center" vertical="center"/>
    </xf>
    <xf numFmtId="0" fontId="3" fillId="3" borderId="63" xfId="2" applyFill="1" applyBorder="1" applyAlignment="1">
      <alignment horizontal="center" vertical="center"/>
    </xf>
    <xf numFmtId="0" fontId="3" fillId="3" borderId="117" xfId="2" applyFill="1" applyBorder="1" applyAlignment="1">
      <alignment horizontal="center" vertical="center"/>
    </xf>
    <xf numFmtId="0" fontId="5" fillId="3" borderId="94" xfId="2" applyFont="1" applyFill="1" applyBorder="1" applyAlignment="1">
      <alignment horizontal="center" vertical="center"/>
    </xf>
    <xf numFmtId="0" fontId="5" fillId="3" borderId="62" xfId="2" applyFont="1" applyFill="1" applyBorder="1" applyAlignment="1">
      <alignment horizontal="center" vertical="center"/>
    </xf>
    <xf numFmtId="0" fontId="5" fillId="3" borderId="66" xfId="2" applyFont="1" applyFill="1" applyBorder="1" applyAlignment="1">
      <alignment horizontal="center" vertical="center"/>
    </xf>
    <xf numFmtId="0" fontId="5" fillId="3" borderId="57" xfId="2" applyFont="1" applyFill="1" applyBorder="1" applyAlignment="1">
      <alignment horizontal="center" vertical="center"/>
    </xf>
    <xf numFmtId="0" fontId="5" fillId="3" borderId="58" xfId="2" applyFont="1" applyFill="1" applyBorder="1" applyAlignment="1">
      <alignment horizontal="center" vertical="center"/>
    </xf>
    <xf numFmtId="164" fontId="3" fillId="3" borderId="51" xfId="8" applyFont="1" applyFill="1" applyBorder="1" applyAlignment="1">
      <alignment horizontal="center" vertical="center" wrapText="1"/>
    </xf>
    <xf numFmtId="164" fontId="3" fillId="3" borderId="20" xfId="8" applyFont="1" applyFill="1" applyBorder="1" applyAlignment="1">
      <alignment horizontal="center" vertical="center" wrapText="1"/>
    </xf>
    <xf numFmtId="0" fontId="82" fillId="3" borderId="56" xfId="2" applyFont="1" applyFill="1" applyBorder="1" applyAlignment="1">
      <alignment horizontal="center" vertical="center" wrapText="1"/>
    </xf>
    <xf numFmtId="0" fontId="82" fillId="3" borderId="57" xfId="2" applyFont="1" applyFill="1" applyBorder="1" applyAlignment="1">
      <alignment horizontal="center" vertical="center" wrapText="1"/>
    </xf>
    <xf numFmtId="0" fontId="82" fillId="3" borderId="51" xfId="2" applyFont="1" applyFill="1" applyBorder="1" applyAlignment="1">
      <alignment horizontal="center" vertical="center" wrapText="1"/>
    </xf>
    <xf numFmtId="0" fontId="82" fillId="3" borderId="20" xfId="2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52" xfId="2" applyFont="1" applyBorder="1" applyAlignment="1">
      <alignment horizontal="center" vertical="center" wrapText="1"/>
    </xf>
    <xf numFmtId="0" fontId="12" fillId="0" borderId="20" xfId="2" applyFont="1" applyFill="1" applyBorder="1" applyAlignment="1">
      <alignment horizontal="center" vertical="center"/>
    </xf>
    <xf numFmtId="177" fontId="3" fillId="3" borderId="52" xfId="2" applyNumberForma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center" vertical="center"/>
    </xf>
    <xf numFmtId="0" fontId="3" fillId="3" borderId="23" xfId="2" applyFont="1" applyFill="1" applyBorder="1" applyAlignment="1">
      <alignment horizontal="center" vertical="center"/>
    </xf>
    <xf numFmtId="0" fontId="3" fillId="3" borderId="21" xfId="2" applyFont="1" applyFill="1" applyBorder="1" applyAlignment="1">
      <alignment horizontal="right" vertical="center"/>
    </xf>
    <xf numFmtId="0" fontId="3" fillId="3" borderId="23" xfId="2" applyFont="1" applyFill="1" applyBorder="1" applyAlignment="1">
      <alignment horizontal="right" vertical="center"/>
    </xf>
    <xf numFmtId="177" fontId="3" fillId="3" borderId="20" xfId="2" applyNumberFormat="1" applyFill="1" applyBorder="1" applyAlignment="1">
      <alignment horizontal="center" vertical="center"/>
    </xf>
    <xf numFmtId="0" fontId="3" fillId="3" borderId="68" xfId="2" applyFill="1" applyBorder="1" applyAlignment="1">
      <alignment horizontal="center" vertical="center"/>
    </xf>
    <xf numFmtId="0" fontId="3" fillId="3" borderId="69" xfId="2" applyFill="1" applyBorder="1" applyAlignment="1">
      <alignment horizontal="center" vertical="center"/>
    </xf>
    <xf numFmtId="0" fontId="3" fillId="3" borderId="115" xfId="2" applyFill="1" applyBorder="1" applyAlignment="1">
      <alignment horizontal="center" vertical="center"/>
    </xf>
    <xf numFmtId="4" fontId="2" fillId="3" borderId="51" xfId="2" applyNumberFormat="1" applyFont="1" applyFill="1" applyBorder="1" applyAlignment="1">
      <alignment horizontal="center" vertical="center"/>
    </xf>
    <xf numFmtId="0" fontId="2" fillId="3" borderId="20" xfId="2" applyFont="1" applyFill="1" applyBorder="1" applyAlignment="1">
      <alignment horizontal="center" vertical="center"/>
    </xf>
    <xf numFmtId="0" fontId="3" fillId="3" borderId="20" xfId="2" applyFill="1" applyBorder="1" applyAlignment="1">
      <alignment horizontal="center" vertical="center"/>
    </xf>
    <xf numFmtId="4" fontId="2" fillId="3" borderId="20" xfId="2" applyNumberFormat="1" applyFont="1" applyFill="1" applyBorder="1" applyAlignment="1">
      <alignment horizontal="center" vertical="center"/>
    </xf>
    <xf numFmtId="0" fontId="4" fillId="3" borderId="51" xfId="2" applyFont="1" applyFill="1" applyBorder="1" applyAlignment="1">
      <alignment horizontal="center" vertical="center" wrapText="1"/>
    </xf>
    <xf numFmtId="0" fontId="4" fillId="3" borderId="20" xfId="2" applyFont="1" applyFill="1" applyBorder="1" applyAlignment="1">
      <alignment horizontal="center" vertical="center" wrapText="1"/>
    </xf>
    <xf numFmtId="179" fontId="3" fillId="3" borderId="20" xfId="7" applyNumberFormat="1" applyFont="1" applyFill="1" applyBorder="1" applyAlignment="1">
      <alignment horizontal="center" vertical="center"/>
    </xf>
    <xf numFmtId="0" fontId="4" fillId="3" borderId="56" xfId="2" applyFont="1" applyFill="1" applyBorder="1" applyAlignment="1">
      <alignment horizontal="right" vertical="center"/>
    </xf>
    <xf numFmtId="0" fontId="4" fillId="3" borderId="57" xfId="2" applyFont="1" applyFill="1" applyBorder="1" applyAlignment="1">
      <alignment horizontal="right" vertical="center"/>
    </xf>
    <xf numFmtId="0" fontId="4" fillId="3" borderId="51" xfId="2" applyFont="1" applyFill="1" applyBorder="1" applyAlignment="1">
      <alignment horizontal="right" vertical="center"/>
    </xf>
    <xf numFmtId="0" fontId="4" fillId="3" borderId="20" xfId="2" applyFont="1" applyFill="1" applyBorder="1" applyAlignment="1">
      <alignment horizontal="right" vertical="center"/>
    </xf>
    <xf numFmtId="0" fontId="4" fillId="3" borderId="53" xfId="2" applyFont="1" applyFill="1" applyBorder="1" applyAlignment="1">
      <alignment horizontal="right" vertical="center"/>
    </xf>
    <xf numFmtId="0" fontId="4" fillId="3" borderId="54" xfId="2" applyFont="1" applyFill="1" applyBorder="1" applyAlignment="1">
      <alignment horizontal="right" vertical="center"/>
    </xf>
    <xf numFmtId="0" fontId="4" fillId="3" borderId="68" xfId="2" applyFont="1" applyFill="1" applyBorder="1" applyAlignment="1">
      <alignment horizontal="right" vertical="center"/>
    </xf>
    <xf numFmtId="0" fontId="4" fillId="3" borderId="69" xfId="2" applyFont="1" applyFill="1" applyBorder="1" applyAlignment="1">
      <alignment horizontal="right" vertical="center"/>
    </xf>
    <xf numFmtId="0" fontId="23" fillId="0" borderId="53" xfId="2" applyFont="1" applyBorder="1" applyAlignment="1">
      <alignment horizontal="center" vertical="center"/>
    </xf>
    <xf numFmtId="0" fontId="23" fillId="0" borderId="54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88" xfId="2" applyFont="1" applyBorder="1" applyAlignment="1">
      <alignment horizontal="center" vertical="center"/>
    </xf>
    <xf numFmtId="0" fontId="23" fillId="0" borderId="56" xfId="2" applyFont="1" applyBorder="1" applyAlignment="1">
      <alignment horizontal="center" vertical="center"/>
    </xf>
    <xf numFmtId="0" fontId="23" fillId="0" borderId="51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57" xfId="2" applyFont="1" applyBorder="1" applyAlignment="1">
      <alignment horizontal="center" vertical="center" wrapText="1"/>
    </xf>
    <xf numFmtId="0" fontId="23" fillId="0" borderId="20" xfId="2" applyFont="1" applyBorder="1" applyAlignment="1">
      <alignment horizontal="center" vertical="center" wrapText="1"/>
    </xf>
    <xf numFmtId="3" fontId="23" fillId="0" borderId="51" xfId="2" applyNumberFormat="1" applyFont="1" applyFill="1" applyBorder="1" applyAlignment="1">
      <alignment horizontal="center" vertical="center"/>
    </xf>
    <xf numFmtId="3" fontId="23" fillId="0" borderId="20" xfId="2" applyNumberFormat="1" applyFont="1" applyFill="1" applyBorder="1" applyAlignment="1">
      <alignment horizontal="center" vertical="center"/>
    </xf>
    <xf numFmtId="3" fontId="23" fillId="0" borderId="52" xfId="2" applyNumberFormat="1" applyFont="1" applyFill="1" applyBorder="1" applyAlignment="1">
      <alignment horizontal="center" vertical="center"/>
    </xf>
    <xf numFmtId="0" fontId="82" fillId="0" borderId="56" xfId="2" applyFont="1" applyBorder="1" applyAlignment="1">
      <alignment horizontal="center" vertical="center" wrapText="1"/>
    </xf>
    <xf numFmtId="0" fontId="82" fillId="0" borderId="57" xfId="2" applyFont="1" applyBorder="1" applyAlignment="1">
      <alignment horizontal="center" vertical="center" wrapText="1"/>
    </xf>
    <xf numFmtId="0" fontId="82" fillId="0" borderId="51" xfId="2" applyFont="1" applyBorder="1" applyAlignment="1">
      <alignment horizontal="center" vertical="center" wrapText="1"/>
    </xf>
    <xf numFmtId="0" fontId="82" fillId="0" borderId="20" xfId="2" applyFont="1" applyBorder="1" applyAlignment="1">
      <alignment horizontal="center" vertical="center" wrapText="1"/>
    </xf>
    <xf numFmtId="10" fontId="32" fillId="0" borderId="54" xfId="2" applyNumberFormat="1" applyFont="1" applyFill="1" applyBorder="1" applyAlignment="1">
      <alignment horizontal="center" vertical="center"/>
    </xf>
    <xf numFmtId="0" fontId="81" fillId="0" borderId="28" xfId="2" applyFont="1" applyBorder="1" applyAlignment="1">
      <alignment horizontal="center" vertical="center" wrapText="1"/>
    </xf>
    <xf numFmtId="0" fontId="81" fillId="0" borderId="130" xfId="2" applyFont="1" applyBorder="1" applyAlignment="1">
      <alignment horizontal="center" vertical="center" wrapText="1"/>
    </xf>
    <xf numFmtId="0" fontId="81" fillId="0" borderId="67" xfId="2" applyFont="1" applyBorder="1" applyAlignment="1">
      <alignment horizontal="center" vertical="center" wrapText="1"/>
    </xf>
    <xf numFmtId="0" fontId="81" fillId="0" borderId="126" xfId="2" applyFont="1" applyBorder="1" applyAlignment="1">
      <alignment horizontal="center" vertical="center" wrapText="1"/>
    </xf>
    <xf numFmtId="0" fontId="11" fillId="0" borderId="48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3" fillId="0" borderId="121" xfId="2" applyFont="1" applyFill="1" applyBorder="1" applyAlignment="1">
      <alignment horizontal="center" vertical="center" wrapText="1"/>
    </xf>
    <xf numFmtId="0" fontId="13" fillId="0" borderId="49" xfId="2" applyFont="1" applyFill="1" applyBorder="1" applyAlignment="1">
      <alignment horizontal="center" vertical="center" wrapText="1"/>
    </xf>
    <xf numFmtId="0" fontId="13" fillId="0" borderId="47" xfId="2" applyFont="1" applyFill="1" applyBorder="1" applyAlignment="1">
      <alignment horizontal="center" vertical="center" wrapText="1"/>
    </xf>
    <xf numFmtId="0" fontId="13" fillId="0" borderId="46" xfId="2" applyFont="1" applyFill="1" applyBorder="1" applyAlignment="1">
      <alignment horizontal="center" vertical="center" wrapText="1"/>
    </xf>
    <xf numFmtId="10" fontId="32" fillId="0" borderId="82" xfId="2" applyNumberFormat="1" applyFont="1" applyFill="1" applyBorder="1" applyAlignment="1">
      <alignment horizontal="center" vertical="center"/>
    </xf>
    <xf numFmtId="10" fontId="32" fillId="0" borderId="115" xfId="2" applyNumberFormat="1" applyFont="1" applyFill="1" applyBorder="1" applyAlignment="1">
      <alignment horizontal="center" vertical="center"/>
    </xf>
    <xf numFmtId="0" fontId="13" fillId="0" borderId="53" xfId="2" applyFont="1" applyFill="1" applyBorder="1" applyAlignment="1">
      <alignment horizontal="center" vertical="center"/>
    </xf>
    <xf numFmtId="0" fontId="13" fillId="0" borderId="54" xfId="2" applyFont="1" applyFill="1" applyBorder="1" applyAlignment="1">
      <alignment horizontal="center" vertical="center"/>
    </xf>
    <xf numFmtId="4" fontId="13" fillId="0" borderId="54" xfId="2" applyNumberFormat="1" applyFont="1" applyFill="1" applyBorder="1" applyAlignment="1">
      <alignment horizontal="center" vertical="center"/>
    </xf>
    <xf numFmtId="4" fontId="13" fillId="0" borderId="55" xfId="2" applyNumberFormat="1" applyFont="1" applyFill="1" applyBorder="1" applyAlignment="1">
      <alignment horizontal="center" vertical="center"/>
    </xf>
    <xf numFmtId="0" fontId="13" fillId="0" borderId="48" xfId="2" applyFont="1" applyFill="1" applyBorder="1" applyAlignment="1">
      <alignment horizontal="center" vertical="center" wrapText="1"/>
    </xf>
    <xf numFmtId="0" fontId="13" fillId="0" borderId="63" xfId="2" applyFont="1" applyFill="1" applyBorder="1" applyAlignment="1">
      <alignment horizontal="center" vertical="center" wrapText="1"/>
    </xf>
    <xf numFmtId="0" fontId="13" fillId="0" borderId="117" xfId="2" applyFont="1" applyFill="1" applyBorder="1" applyAlignment="1">
      <alignment horizontal="center" vertical="center" wrapText="1"/>
    </xf>
    <xf numFmtId="0" fontId="13" fillId="0" borderId="120" xfId="2" applyFont="1" applyFill="1" applyBorder="1" applyAlignment="1">
      <alignment horizontal="center" vertical="center" wrapText="1"/>
    </xf>
    <xf numFmtId="0" fontId="13" fillId="0" borderId="50" xfId="2" applyFont="1" applyFill="1" applyBorder="1" applyAlignment="1">
      <alignment horizontal="center" vertical="center" wrapText="1"/>
    </xf>
    <xf numFmtId="0" fontId="13" fillId="0" borderId="51" xfId="2" applyFont="1" applyFill="1" applyBorder="1" applyAlignment="1">
      <alignment horizontal="center" vertical="center"/>
    </xf>
    <xf numFmtId="0" fontId="13" fillId="0" borderId="20" xfId="2" applyFont="1" applyFill="1" applyBorder="1" applyAlignment="1">
      <alignment horizontal="center" vertical="center"/>
    </xf>
    <xf numFmtId="0" fontId="13" fillId="0" borderId="59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60" xfId="2" applyFont="1" applyFill="1" applyBorder="1" applyAlignment="1">
      <alignment horizontal="center" vertical="center"/>
    </xf>
    <xf numFmtId="0" fontId="12" fillId="0" borderId="122" xfId="2" applyFont="1" applyFill="1" applyBorder="1" applyAlignment="1">
      <alignment horizontal="center" vertical="center"/>
    </xf>
    <xf numFmtId="0" fontId="12" fillId="0" borderId="49" xfId="2" applyFont="1" applyFill="1" applyBorder="1" applyAlignment="1">
      <alignment horizontal="center" vertical="center"/>
    </xf>
    <xf numFmtId="0" fontId="12" fillId="0" borderId="92" xfId="2" applyFont="1" applyFill="1" applyBorder="1" applyAlignment="1">
      <alignment horizontal="center" vertical="center"/>
    </xf>
    <xf numFmtId="0" fontId="12" fillId="0" borderId="46" xfId="2" applyFont="1" applyFill="1" applyBorder="1" applyAlignment="1">
      <alignment horizontal="center" vertical="center"/>
    </xf>
    <xf numFmtId="2" fontId="12" fillId="0" borderId="92" xfId="2" applyNumberFormat="1" applyFont="1" applyFill="1" applyBorder="1" applyAlignment="1">
      <alignment horizontal="center" vertical="center"/>
    </xf>
    <xf numFmtId="2" fontId="12" fillId="0" borderId="46" xfId="2" applyNumberFormat="1" applyFont="1" applyFill="1" applyBorder="1" applyAlignment="1">
      <alignment horizontal="center" vertical="center"/>
    </xf>
    <xf numFmtId="164" fontId="12" fillId="0" borderId="92" xfId="8" applyFont="1" applyFill="1" applyBorder="1" applyAlignment="1">
      <alignment horizontal="center" vertical="center" wrapText="1"/>
    </xf>
    <xf numFmtId="164" fontId="12" fillId="0" borderId="46" xfId="8" applyFont="1" applyFill="1" applyBorder="1" applyAlignment="1">
      <alignment horizontal="center" vertical="center" wrapText="1"/>
    </xf>
    <xf numFmtId="164" fontId="12" fillId="0" borderId="65" xfId="8" applyFont="1" applyFill="1" applyBorder="1" applyAlignment="1">
      <alignment horizontal="center" vertical="center"/>
    </xf>
    <xf numFmtId="164" fontId="12" fillId="0" borderId="50" xfId="8" applyFont="1" applyFill="1" applyBorder="1" applyAlignment="1">
      <alignment horizontal="center" vertical="center"/>
    </xf>
    <xf numFmtId="0" fontId="12" fillId="0" borderId="65" xfId="2" applyFont="1" applyFill="1" applyBorder="1" applyAlignment="1">
      <alignment horizontal="center" vertical="center" wrapText="1"/>
    </xf>
    <xf numFmtId="0" fontId="12" fillId="0" borderId="118" xfId="2" applyFont="1" applyFill="1" applyBorder="1" applyAlignment="1">
      <alignment horizontal="center" vertical="center" wrapText="1"/>
    </xf>
    <xf numFmtId="0" fontId="12" fillId="0" borderId="66" xfId="2" applyFont="1" applyFill="1" applyBorder="1" applyAlignment="1">
      <alignment horizontal="center" vertical="center" wrapText="1"/>
    </xf>
    <xf numFmtId="0" fontId="11" fillId="0" borderId="40" xfId="2" applyFont="1" applyFill="1" applyBorder="1" applyAlignment="1">
      <alignment horizontal="center" vertical="center"/>
    </xf>
    <xf numFmtId="0" fontId="11" fillId="0" borderId="41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0" fontId="13" fillId="0" borderId="56" xfId="2" applyFont="1" applyFill="1" applyBorder="1" applyAlignment="1">
      <alignment horizontal="center" vertical="center" wrapText="1"/>
    </xf>
    <xf numFmtId="0" fontId="13" fillId="0" borderId="51" xfId="2" applyFont="1" applyFill="1" applyBorder="1" applyAlignment="1">
      <alignment horizontal="center" vertical="center" wrapText="1"/>
    </xf>
    <xf numFmtId="0" fontId="13" fillId="0" borderId="57" xfId="2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center" vertical="center" wrapText="1"/>
    </xf>
    <xf numFmtId="0" fontId="13" fillId="0" borderId="64" xfId="2" applyFont="1" applyFill="1" applyBorder="1" applyAlignment="1">
      <alignment horizontal="center" vertical="center" wrapText="1"/>
    </xf>
    <xf numFmtId="0" fontId="23" fillId="0" borderId="40" xfId="2" applyFont="1" applyBorder="1" applyAlignment="1">
      <alignment horizontal="center" vertical="center"/>
    </xf>
    <xf numFmtId="0" fontId="23" fillId="0" borderId="41" xfId="2" applyFont="1" applyBorder="1" applyAlignment="1">
      <alignment horizontal="center" vertical="center"/>
    </xf>
    <xf numFmtId="0" fontId="23" fillId="0" borderId="42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 wrapText="1"/>
    </xf>
    <xf numFmtId="0" fontId="23" fillId="0" borderId="52" xfId="2" applyFont="1" applyBorder="1" applyAlignment="1">
      <alignment horizontal="center" vertical="center" wrapText="1"/>
    </xf>
    <xf numFmtId="0" fontId="23" fillId="0" borderId="113" xfId="2" applyFont="1" applyBorder="1" applyAlignment="1">
      <alignment horizontal="center" vertical="center"/>
    </xf>
    <xf numFmtId="0" fontId="23" fillId="0" borderId="93" xfId="2" applyFont="1" applyBorder="1" applyAlignment="1">
      <alignment horizontal="center" vertical="center"/>
    </xf>
    <xf numFmtId="0" fontId="23" fillId="0" borderId="114" xfId="2" applyFont="1" applyBorder="1" applyAlignment="1">
      <alignment horizontal="center" vertical="center"/>
    </xf>
    <xf numFmtId="4" fontId="14" fillId="0" borderId="54" xfId="2" applyNumberFormat="1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52" xfId="2" applyFont="1" applyFill="1" applyBorder="1" applyAlignment="1">
      <alignment horizontal="left" vertical="center"/>
    </xf>
    <xf numFmtId="0" fontId="14" fillId="0" borderId="26" xfId="2" applyFont="1" applyFill="1" applyBorder="1" applyAlignment="1">
      <alignment horizontal="center" vertical="center" wrapText="1"/>
    </xf>
    <xf numFmtId="0" fontId="14" fillId="0" borderId="27" xfId="2" applyFont="1" applyFill="1" applyBorder="1" applyAlignment="1">
      <alignment horizontal="center" vertical="center" wrapText="1"/>
    </xf>
    <xf numFmtId="0" fontId="14" fillId="0" borderId="61" xfId="2" applyFont="1" applyFill="1" applyBorder="1" applyAlignment="1">
      <alignment horizontal="center" vertical="center" wrapText="1"/>
    </xf>
    <xf numFmtId="0" fontId="14" fillId="0" borderId="96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97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10" fontId="41" fillId="0" borderId="82" xfId="2" applyNumberFormat="1" applyFont="1" applyFill="1" applyBorder="1" applyAlignment="1">
      <alignment horizontal="center" vertical="center"/>
    </xf>
    <xf numFmtId="10" fontId="41" fillId="0" borderId="69" xfId="2" applyNumberFormat="1" applyFont="1" applyFill="1" applyBorder="1" applyAlignment="1">
      <alignment horizontal="center" vertical="center"/>
    </xf>
    <xf numFmtId="10" fontId="41" fillId="0" borderId="115" xfId="2" applyNumberFormat="1" applyFont="1" applyFill="1" applyBorder="1" applyAlignment="1">
      <alignment horizontal="center" vertical="center"/>
    </xf>
    <xf numFmtId="10" fontId="41" fillId="0" borderId="21" xfId="2" applyNumberFormat="1" applyFont="1" applyFill="1" applyBorder="1" applyAlignment="1">
      <alignment horizontal="center" vertical="center"/>
    </xf>
    <xf numFmtId="10" fontId="41" fillId="0" borderId="22" xfId="2" applyNumberFormat="1" applyFont="1" applyFill="1" applyBorder="1" applyAlignment="1">
      <alignment horizontal="center" vertical="center"/>
    </xf>
    <xf numFmtId="10" fontId="41" fillId="0" borderId="23" xfId="2" applyNumberFormat="1" applyFont="1" applyFill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24" xfId="2" applyFont="1" applyBorder="1" applyAlignment="1">
      <alignment horizontal="center" vertical="center"/>
    </xf>
    <xf numFmtId="0" fontId="23" fillId="0" borderId="52" xfId="2" applyFont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 vertical="center" wrapText="1"/>
    </xf>
    <xf numFmtId="0" fontId="14" fillId="0" borderId="54" xfId="2" applyFont="1" applyFill="1" applyBorder="1" applyAlignment="1">
      <alignment horizontal="center" vertical="center" wrapText="1"/>
    </xf>
    <xf numFmtId="0" fontId="14" fillId="0" borderId="55" xfId="2" applyFont="1" applyFill="1" applyBorder="1" applyAlignment="1">
      <alignment horizontal="center" vertical="center" wrapText="1"/>
    </xf>
    <xf numFmtId="10" fontId="41" fillId="0" borderId="20" xfId="2" applyNumberFormat="1" applyFont="1" applyFill="1" applyBorder="1" applyAlignment="1">
      <alignment horizontal="center" vertical="center"/>
    </xf>
    <xf numFmtId="10" fontId="41" fillId="0" borderId="54" xfId="2" applyNumberFormat="1" applyFont="1" applyFill="1" applyBorder="1" applyAlignment="1">
      <alignment horizontal="center" vertical="center"/>
    </xf>
    <xf numFmtId="0" fontId="13" fillId="0" borderId="52" xfId="2" applyFont="1" applyFill="1" applyBorder="1" applyAlignment="1">
      <alignment horizontal="center" vertical="center"/>
    </xf>
    <xf numFmtId="0" fontId="13" fillId="0" borderId="58" xfId="2" applyFont="1" applyFill="1" applyBorder="1" applyAlignment="1">
      <alignment horizontal="center" vertical="center" wrapText="1"/>
    </xf>
    <xf numFmtId="0" fontId="13" fillId="0" borderId="52" xfId="2" applyFont="1" applyFill="1" applyBorder="1" applyAlignment="1">
      <alignment horizontal="center" vertical="center" wrapText="1"/>
    </xf>
    <xf numFmtId="0" fontId="12" fillId="0" borderId="92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4" fontId="32" fillId="0" borderId="65" xfId="2" applyNumberFormat="1" applyFont="1" applyFill="1" applyBorder="1" applyAlignment="1">
      <alignment horizontal="right" vertical="center"/>
    </xf>
    <xf numFmtId="4" fontId="32" fillId="0" borderId="50" xfId="2" applyNumberFormat="1" applyFont="1" applyFill="1" applyBorder="1" applyAlignment="1">
      <alignment horizontal="right" vertical="center"/>
    </xf>
    <xf numFmtId="0" fontId="83" fillId="0" borderId="56" xfId="2" applyFont="1" applyBorder="1" applyAlignment="1">
      <alignment horizontal="center" vertical="center" wrapText="1"/>
    </xf>
    <xf numFmtId="0" fontId="83" fillId="0" borderId="57" xfId="2" applyFont="1" applyBorder="1" applyAlignment="1">
      <alignment horizontal="center" vertical="center" wrapText="1"/>
    </xf>
    <xf numFmtId="0" fontId="83" fillId="0" borderId="51" xfId="2" applyFont="1" applyBorder="1" applyAlignment="1">
      <alignment horizontal="center" vertical="center" wrapText="1"/>
    </xf>
    <xf numFmtId="0" fontId="83" fillId="0" borderId="20" xfId="2" applyFont="1" applyBorder="1" applyAlignment="1">
      <alignment horizontal="center" vertical="center" wrapText="1"/>
    </xf>
    <xf numFmtId="0" fontId="13" fillId="0" borderId="23" xfId="2" applyFont="1" applyFill="1" applyBorder="1" applyAlignment="1">
      <alignment horizontal="center" vertical="center"/>
    </xf>
    <xf numFmtId="0" fontId="11" fillId="0" borderId="85" xfId="2" applyFont="1" applyFill="1" applyBorder="1" applyAlignment="1">
      <alignment horizontal="center" vertical="center"/>
    </xf>
    <xf numFmtId="0" fontId="11" fillId="0" borderId="86" xfId="2" applyFont="1" applyFill="1" applyBorder="1" applyAlignment="1">
      <alignment horizontal="center" vertical="center"/>
    </xf>
    <xf numFmtId="0" fontId="11" fillId="0" borderId="119" xfId="2" applyFont="1" applyFill="1" applyBorder="1" applyAlignment="1">
      <alignment horizontal="center" vertical="center"/>
    </xf>
    <xf numFmtId="0" fontId="11" fillId="0" borderId="87" xfId="2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 wrapText="1"/>
    </xf>
    <xf numFmtId="0" fontId="12" fillId="0" borderId="82" xfId="2" applyFont="1" applyFill="1" applyBorder="1" applyAlignment="1">
      <alignment horizontal="center" vertical="center" wrapText="1"/>
    </xf>
    <xf numFmtId="49" fontId="32" fillId="0" borderId="20" xfId="2" applyNumberFormat="1" applyFont="1" applyFill="1" applyBorder="1" applyAlignment="1">
      <alignment horizontal="center" vertical="center"/>
    </xf>
    <xf numFmtId="0" fontId="11" fillId="0" borderId="121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0" fontId="11" fillId="0" borderId="120" xfId="2" applyFont="1" applyFill="1" applyBorder="1" applyAlignment="1">
      <alignment horizontal="center" vertical="center"/>
    </xf>
    <xf numFmtId="0" fontId="13" fillId="0" borderId="55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56" xfId="2" applyFont="1" applyFill="1" applyBorder="1" applyAlignment="1">
      <alignment horizontal="center" vertical="center"/>
    </xf>
    <xf numFmtId="0" fontId="13" fillId="0" borderId="58" xfId="2" applyFont="1" applyFill="1" applyBorder="1" applyAlignment="1">
      <alignment horizontal="center" vertical="center"/>
    </xf>
    <xf numFmtId="0" fontId="13" fillId="0" borderId="57" xfId="2" applyFont="1" applyFill="1" applyBorder="1" applyAlignment="1">
      <alignment horizontal="center" vertical="center"/>
    </xf>
    <xf numFmtId="0" fontId="82" fillId="0" borderId="56" xfId="0" applyFont="1" applyBorder="1" applyAlignment="1">
      <alignment horizontal="center" vertical="center" wrapText="1"/>
    </xf>
    <xf numFmtId="0" fontId="82" fillId="0" borderId="57" xfId="0" applyFont="1" applyBorder="1" applyAlignment="1">
      <alignment horizontal="center" vertical="center" wrapText="1"/>
    </xf>
    <xf numFmtId="0" fontId="82" fillId="0" borderId="51" xfId="0" applyFont="1" applyBorder="1" applyAlignment="1">
      <alignment horizontal="center" vertical="center" wrapText="1"/>
    </xf>
    <xf numFmtId="0" fontId="82" fillId="0" borderId="20" xfId="0" applyFont="1" applyBorder="1" applyAlignment="1">
      <alignment horizontal="center" vertical="center" wrapText="1"/>
    </xf>
    <xf numFmtId="10" fontId="32" fillId="0" borderId="20" xfId="2" applyNumberFormat="1" applyFont="1" applyFill="1" applyBorder="1" applyAlignment="1">
      <alignment horizontal="center" vertical="center" wrapText="1"/>
    </xf>
    <xf numFmtId="0" fontId="32" fillId="0" borderId="53" xfId="0" applyFont="1" applyFill="1" applyBorder="1" applyAlignment="1">
      <alignment horizontal="left" vertical="center" wrapText="1"/>
    </xf>
    <xf numFmtId="0" fontId="32" fillId="0" borderId="54" xfId="0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0" fontId="32" fillId="0" borderId="51" xfId="0" applyFont="1" applyFill="1" applyBorder="1" applyAlignment="1">
      <alignment horizontal="left" vertical="center" wrapText="1"/>
    </xf>
    <xf numFmtId="0" fontId="32" fillId="0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0" fontId="35" fillId="0" borderId="77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70" xfId="0" applyFont="1" applyBorder="1" applyAlignment="1">
      <alignment horizontal="center" vertical="center"/>
    </xf>
    <xf numFmtId="0" fontId="11" fillId="0" borderId="28" xfId="2" applyFont="1" applyBorder="1" applyAlignment="1">
      <alignment horizontal="center"/>
    </xf>
    <xf numFmtId="0" fontId="11" fillId="0" borderId="29" xfId="2" applyFont="1" applyBorder="1" applyAlignment="1">
      <alignment horizontal="center"/>
    </xf>
    <xf numFmtId="0" fontId="11" fillId="0" borderId="30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0" borderId="2" xfId="2" applyFont="1" applyFill="1" applyBorder="1" applyAlignment="1">
      <alignment horizontal="left"/>
    </xf>
    <xf numFmtId="0" fontId="23" fillId="0" borderId="20" xfId="2" applyFont="1" applyFill="1" applyBorder="1" applyAlignment="1">
      <alignment horizontal="center" vertical="center" wrapText="1"/>
    </xf>
    <xf numFmtId="0" fontId="23" fillId="0" borderId="52" xfId="2" applyFont="1" applyFill="1" applyBorder="1" applyAlignment="1">
      <alignment horizontal="center" vertical="center" wrapText="1"/>
    </xf>
    <xf numFmtId="0" fontId="23" fillId="0" borderId="54" xfId="2" applyFont="1" applyFill="1" applyBorder="1" applyAlignment="1">
      <alignment horizontal="center" vertical="center" wrapText="1"/>
    </xf>
    <xf numFmtId="0" fontId="23" fillId="0" borderId="55" xfId="2" applyFont="1" applyFill="1" applyBorder="1" applyAlignment="1">
      <alignment horizontal="center" vertical="center" wrapText="1"/>
    </xf>
    <xf numFmtId="10" fontId="34" fillId="0" borderId="54" xfId="2" applyNumberFormat="1" applyFont="1" applyFill="1" applyBorder="1" applyAlignment="1">
      <alignment horizontal="center" vertical="center"/>
    </xf>
    <xf numFmtId="0" fontId="41" fillId="3" borderId="18" xfId="1" applyFont="1" applyFill="1" applyBorder="1" applyAlignment="1">
      <alignment horizontal="left" vertical="center" wrapText="1" shrinkToFit="1"/>
    </xf>
    <xf numFmtId="0" fontId="41" fillId="3" borderId="6" xfId="1" applyFont="1" applyFill="1" applyBorder="1" applyAlignment="1">
      <alignment horizontal="left" vertical="center" wrapText="1" shrinkToFit="1"/>
    </xf>
    <xf numFmtId="0" fontId="41" fillId="3" borderId="17" xfId="1" applyFont="1" applyFill="1" applyBorder="1" applyAlignment="1">
      <alignment horizontal="left" vertical="center" wrapText="1" shrinkToFit="1"/>
    </xf>
    <xf numFmtId="0" fontId="40" fillId="3" borderId="15" xfId="1" applyFont="1" applyFill="1" applyBorder="1" applyAlignment="1">
      <alignment horizontal="center" vertical="center"/>
    </xf>
    <xf numFmtId="0" fontId="40" fillId="3" borderId="37" xfId="1" applyFont="1" applyFill="1" applyBorder="1" applyAlignment="1">
      <alignment horizontal="center" vertical="center"/>
    </xf>
    <xf numFmtId="0" fontId="40" fillId="3" borderId="16" xfId="1" applyFont="1" applyFill="1" applyBorder="1" applyAlignment="1">
      <alignment horizontal="center" vertical="center"/>
    </xf>
    <xf numFmtId="0" fontId="41" fillId="3" borderId="18" xfId="1" applyFont="1" applyFill="1" applyBorder="1" applyAlignment="1">
      <alignment horizontal="left" vertical="center"/>
    </xf>
    <xf numFmtId="0" fontId="41" fillId="3" borderId="6" xfId="1" applyFont="1" applyFill="1" applyBorder="1" applyAlignment="1">
      <alignment horizontal="left" vertical="center"/>
    </xf>
    <xf numFmtId="0" fontId="41" fillId="3" borderId="17" xfId="1" applyFont="1" applyFill="1" applyBorder="1" applyAlignment="1">
      <alignment horizontal="left" vertical="center"/>
    </xf>
    <xf numFmtId="0" fontId="40" fillId="3" borderId="79" xfId="1" applyFont="1" applyFill="1" applyBorder="1" applyAlignment="1">
      <alignment horizontal="center" vertical="center"/>
    </xf>
    <xf numFmtId="0" fontId="40" fillId="3" borderId="35" xfId="1" applyFont="1" applyFill="1" applyBorder="1" applyAlignment="1">
      <alignment horizontal="center" vertical="center"/>
    </xf>
    <xf numFmtId="0" fontId="40" fillId="3" borderId="78" xfId="1" applyFont="1" applyFill="1" applyBorder="1" applyAlignment="1">
      <alignment horizontal="center" vertical="center"/>
    </xf>
    <xf numFmtId="0" fontId="40" fillId="3" borderId="33" xfId="1" applyFont="1" applyFill="1" applyBorder="1" applyAlignment="1">
      <alignment horizontal="center" vertical="center"/>
    </xf>
    <xf numFmtId="0" fontId="40" fillId="3" borderId="83" xfId="1" applyFont="1" applyFill="1" applyBorder="1" applyAlignment="1">
      <alignment horizontal="center" vertical="center"/>
    </xf>
    <xf numFmtId="0" fontId="40" fillId="3" borderId="84" xfId="1" applyFont="1" applyFill="1" applyBorder="1" applyAlignment="1">
      <alignment horizontal="center" vertical="center"/>
    </xf>
    <xf numFmtId="0" fontId="27" fillId="0" borderId="28" xfId="1" applyFont="1" applyBorder="1" applyAlignment="1">
      <alignment horizontal="left" vertical="center"/>
    </xf>
    <xf numFmtId="0" fontId="27" fillId="0" borderId="29" xfId="1" applyFont="1" applyBorder="1" applyAlignment="1">
      <alignment horizontal="left" vertical="center"/>
    </xf>
    <xf numFmtId="0" fontId="27" fillId="0" borderId="30" xfId="1" applyFont="1" applyBorder="1" applyAlignment="1">
      <alignment horizontal="left" vertical="center"/>
    </xf>
    <xf numFmtId="0" fontId="27" fillId="0" borderId="12" xfId="1" applyFont="1" applyBorder="1" applyAlignment="1">
      <alignment horizontal="left" vertical="center"/>
    </xf>
    <xf numFmtId="0" fontId="27" fillId="0" borderId="11" xfId="1" applyFont="1" applyBorder="1" applyAlignment="1">
      <alignment horizontal="left" vertical="center"/>
    </xf>
    <xf numFmtId="0" fontId="27" fillId="0" borderId="24" xfId="1" applyFont="1" applyBorder="1" applyAlignment="1">
      <alignment horizontal="left" vertical="center"/>
    </xf>
    <xf numFmtId="0" fontId="27" fillId="0" borderId="90" xfId="1" applyFont="1" applyBorder="1" applyAlignment="1">
      <alignment horizontal="left" vertical="center"/>
    </xf>
    <xf numFmtId="0" fontId="27" fillId="0" borderId="91" xfId="1" applyFont="1" applyBorder="1" applyAlignment="1">
      <alignment horizontal="left" vertical="center"/>
    </xf>
    <xf numFmtId="0" fontId="40" fillId="3" borderId="18" xfId="1" applyFont="1" applyFill="1" applyBorder="1" applyAlignment="1">
      <alignment horizontal="left" vertical="center"/>
    </xf>
    <xf numFmtId="0" fontId="40" fillId="3" borderId="6" xfId="1" applyFont="1" applyFill="1" applyBorder="1" applyAlignment="1">
      <alignment horizontal="left" vertical="center"/>
    </xf>
    <xf numFmtId="0" fontId="40" fillId="3" borderId="17" xfId="1" applyFont="1" applyFill="1" applyBorder="1" applyAlignment="1">
      <alignment horizontal="left" vertical="center"/>
    </xf>
    <xf numFmtId="0" fontId="40" fillId="3" borderId="79" xfId="1" applyFont="1" applyFill="1" applyBorder="1" applyAlignment="1">
      <alignment horizontal="left" vertical="center"/>
    </xf>
    <xf numFmtId="0" fontId="40" fillId="3" borderId="35" xfId="1" applyFont="1" applyFill="1" applyBorder="1" applyAlignment="1">
      <alignment horizontal="left" vertical="center"/>
    </xf>
    <xf numFmtId="0" fontId="40" fillId="3" borderId="78" xfId="1" applyFont="1" applyFill="1" applyBorder="1" applyAlignment="1">
      <alignment horizontal="left" vertical="center"/>
    </xf>
    <xf numFmtId="0" fontId="41" fillId="3" borderId="1" xfId="1" applyFont="1" applyFill="1" applyBorder="1" applyAlignment="1">
      <alignment horizontal="center" vertical="center"/>
    </xf>
    <xf numFmtId="0" fontId="41" fillId="3" borderId="0" xfId="1" applyFont="1" applyFill="1" applyBorder="1" applyAlignment="1">
      <alignment horizontal="center" vertical="center"/>
    </xf>
    <xf numFmtId="0" fontId="41" fillId="3" borderId="2" xfId="1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8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10" fontId="12" fillId="0" borderId="52" xfId="2" applyNumberFormat="1" applyFont="1" applyFill="1" applyBorder="1" applyAlignment="1">
      <alignment horizontal="center" vertical="center" wrapText="1"/>
    </xf>
    <xf numFmtId="10" fontId="12" fillId="0" borderId="55" xfId="2" applyNumberFormat="1" applyFont="1" applyFill="1" applyBorder="1" applyAlignment="1">
      <alignment horizontal="center" vertical="center" wrapText="1"/>
    </xf>
    <xf numFmtId="49" fontId="12" fillId="0" borderId="20" xfId="0" applyNumberFormat="1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center"/>
    </xf>
    <xf numFmtId="0" fontId="10" fillId="0" borderId="54" xfId="0" applyFont="1" applyFill="1" applyBorder="1" applyAlignment="1">
      <alignment horizontal="center" vertical="center"/>
    </xf>
    <xf numFmtId="0" fontId="32" fillId="3" borderId="21" xfId="0" applyFont="1" applyFill="1" applyBorder="1" applyAlignment="1">
      <alignment horizontal="center" vertical="center" wrapText="1"/>
    </xf>
    <xf numFmtId="0" fontId="32" fillId="3" borderId="23" xfId="0" applyFont="1" applyFill="1" applyBorder="1" applyAlignment="1">
      <alignment horizontal="center" vertical="center" wrapText="1"/>
    </xf>
    <xf numFmtId="10" fontId="13" fillId="0" borderId="65" xfId="5" applyNumberFormat="1" applyFont="1" applyFill="1" applyBorder="1" applyAlignment="1">
      <alignment horizontal="center" vertical="center" wrapText="1"/>
    </xf>
    <xf numFmtId="10" fontId="13" fillId="0" borderId="118" xfId="5" applyNumberFormat="1" applyFont="1" applyFill="1" applyBorder="1" applyAlignment="1">
      <alignment horizontal="center" vertical="center" wrapText="1"/>
    </xf>
    <xf numFmtId="10" fontId="33" fillId="0" borderId="65" xfId="5" applyNumberFormat="1" applyFont="1" applyFill="1" applyBorder="1" applyAlignment="1">
      <alignment horizontal="right" vertical="center" wrapText="1"/>
    </xf>
    <xf numFmtId="10" fontId="33" fillId="0" borderId="118" xfId="5" applyNumberFormat="1" applyFont="1" applyFill="1" applyBorder="1" applyAlignment="1">
      <alignment horizontal="right" vertical="center" wrapText="1"/>
    </xf>
    <xf numFmtId="10" fontId="33" fillId="0" borderId="50" xfId="5" applyNumberFormat="1" applyFont="1" applyFill="1" applyBorder="1" applyAlignment="1">
      <alignment horizontal="right" vertical="center" wrapText="1"/>
    </xf>
    <xf numFmtId="166" fontId="32" fillId="0" borderId="0" xfId="0" applyNumberFormat="1" applyFont="1" applyFill="1" applyBorder="1" applyAlignment="1">
      <alignment horizontal="center" vertical="center"/>
    </xf>
    <xf numFmtId="10" fontId="13" fillId="0" borderId="50" xfId="5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6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12" fillId="0" borderId="61" xfId="0" applyNumberFormat="1" applyFont="1" applyFill="1" applyBorder="1" applyAlignment="1">
      <alignment horizontal="center" vertical="center" wrapText="1"/>
    </xf>
    <xf numFmtId="0" fontId="12" fillId="0" borderId="96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127" xfId="0" applyNumberFormat="1" applyFont="1" applyFill="1" applyBorder="1" applyAlignment="1">
      <alignment horizontal="center" vertical="center" wrapText="1"/>
    </xf>
    <xf numFmtId="0" fontId="12" fillId="0" borderId="25" xfId="0" applyNumberFormat="1" applyFont="1" applyFill="1" applyBorder="1" applyAlignment="1">
      <alignment horizontal="center" vertical="center" wrapText="1"/>
    </xf>
    <xf numFmtId="0" fontId="12" fillId="0" borderId="81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/>
    </xf>
    <xf numFmtId="0" fontId="12" fillId="0" borderId="23" xfId="0" applyFont="1" applyFill="1" applyBorder="1" applyAlignment="1">
      <alignment horizontal="left" vertical="center"/>
    </xf>
    <xf numFmtId="0" fontId="81" fillId="0" borderId="56" xfId="0" applyFont="1" applyFill="1" applyBorder="1" applyAlignment="1">
      <alignment horizontal="center" vertical="center" wrapText="1"/>
    </xf>
    <xf numFmtId="0" fontId="81" fillId="0" borderId="57" xfId="0" applyFont="1" applyFill="1" applyBorder="1" applyAlignment="1">
      <alignment horizontal="center" vertical="center" wrapText="1"/>
    </xf>
    <xf numFmtId="0" fontId="81" fillId="0" borderId="51" xfId="0" applyFont="1" applyFill="1" applyBorder="1" applyAlignment="1">
      <alignment horizontal="center" vertical="center" wrapText="1"/>
    </xf>
    <xf numFmtId="0" fontId="81" fillId="0" borderId="20" xfId="0" applyFont="1" applyFill="1" applyBorder="1" applyAlignment="1">
      <alignment horizontal="center" vertical="center" wrapText="1"/>
    </xf>
    <xf numFmtId="0" fontId="12" fillId="0" borderId="54" xfId="0" applyFont="1" applyFill="1" applyBorder="1" applyAlignment="1">
      <alignment horizontal="right" vertical="center"/>
    </xf>
    <xf numFmtId="49" fontId="12" fillId="0" borderId="54" xfId="0" applyNumberFormat="1" applyFont="1" applyFill="1" applyBorder="1" applyAlignment="1">
      <alignment horizontal="center" vertical="center"/>
    </xf>
    <xf numFmtId="0" fontId="12" fillId="0" borderId="54" xfId="0" applyNumberFormat="1" applyFont="1" applyFill="1" applyBorder="1" applyAlignment="1">
      <alignment horizontal="center" vertical="center"/>
    </xf>
    <xf numFmtId="0" fontId="10" fillId="0" borderId="113" xfId="0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/>
    </xf>
    <xf numFmtId="0" fontId="10" fillId="0" borderId="114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4" fontId="12" fillId="3" borderId="54" xfId="0" applyNumberFormat="1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0" xfId="0" applyFill="1" applyBorder="1" applyAlignment="1">
      <alignment horizontal="left" vertical="center"/>
    </xf>
    <xf numFmtId="0" fontId="81" fillId="0" borderId="56" xfId="0" applyFont="1" applyBorder="1" applyAlignment="1">
      <alignment horizontal="center" vertical="center" wrapText="1"/>
    </xf>
    <xf numFmtId="0" fontId="81" fillId="0" borderId="57" xfId="0" applyFont="1" applyBorder="1" applyAlignment="1">
      <alignment horizontal="center" vertical="center" wrapText="1"/>
    </xf>
    <xf numFmtId="0" fontId="81" fillId="0" borderId="51" xfId="0" applyFont="1" applyBorder="1" applyAlignment="1">
      <alignment horizontal="center" vertical="center" wrapText="1"/>
    </xf>
    <xf numFmtId="0" fontId="81" fillId="0" borderId="2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0" fillId="0" borderId="11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2" fillId="0" borderId="54" xfId="2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right" vertical="center"/>
    </xf>
    <xf numFmtId="0" fontId="4" fillId="2" borderId="39" xfId="0" applyFont="1" applyFill="1" applyBorder="1" applyAlignment="1">
      <alignment horizontal="right" vertical="center"/>
    </xf>
    <xf numFmtId="49" fontId="8" fillId="0" borderId="31" xfId="0" applyNumberFormat="1" applyFont="1" applyFill="1" applyBorder="1" applyAlignment="1">
      <alignment horizontal="center" vertical="center"/>
    </xf>
    <xf numFmtId="49" fontId="8" fillId="0" borderId="43" xfId="0" applyNumberFormat="1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12" fillId="0" borderId="126" xfId="2" applyFont="1" applyFill="1" applyBorder="1" applyAlignment="1">
      <alignment horizontal="center" vertical="center" wrapText="1"/>
    </xf>
    <xf numFmtId="0" fontId="12" fillId="0" borderId="46" xfId="2" applyFont="1" applyFill="1" applyBorder="1" applyAlignment="1">
      <alignment horizontal="center" vertical="center" wrapText="1"/>
    </xf>
    <xf numFmtId="0" fontId="12" fillId="0" borderId="50" xfId="2" applyFont="1" applyFill="1" applyBorder="1" applyAlignment="1">
      <alignment horizontal="center" vertical="center" wrapText="1"/>
    </xf>
    <xf numFmtId="0" fontId="12" fillId="0" borderId="23" xfId="2" applyFont="1" applyFill="1" applyBorder="1" applyAlignment="1">
      <alignment horizontal="center" vertical="center" wrapText="1"/>
    </xf>
    <xf numFmtId="0" fontId="12" fillId="0" borderId="92" xfId="2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right" vertical="center"/>
    </xf>
    <xf numFmtId="0" fontId="5" fillId="2" borderId="20" xfId="0" applyFont="1" applyFill="1" applyBorder="1" applyAlignment="1">
      <alignment horizontal="right" vertical="center"/>
    </xf>
    <xf numFmtId="0" fontId="5" fillId="2" borderId="53" xfId="0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right" vertical="center"/>
    </xf>
    <xf numFmtId="49" fontId="8" fillId="0" borderId="56" xfId="0" applyNumberFormat="1" applyFont="1" applyFill="1" applyBorder="1" applyAlignment="1">
      <alignment horizontal="center" vertical="center"/>
    </xf>
    <xf numFmtId="49" fontId="8" fillId="0" borderId="51" xfId="0" applyNumberFormat="1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6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8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32" fillId="0" borderId="51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3" fillId="0" borderId="53" xfId="0" applyFont="1" applyBorder="1" applyAlignment="1">
      <alignment horizontal="left" vertical="center"/>
    </xf>
    <xf numFmtId="0" fontId="33" fillId="0" borderId="54" xfId="0" applyFont="1" applyBorder="1" applyAlignment="1">
      <alignment horizontal="left" vertical="center"/>
    </xf>
    <xf numFmtId="0" fontId="33" fillId="0" borderId="56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4" fontId="12" fillId="0" borderId="54" xfId="0" applyNumberFormat="1" applyFont="1" applyFill="1" applyBorder="1" applyAlignment="1">
      <alignment horizontal="left" vertical="center"/>
    </xf>
    <xf numFmtId="0" fontId="23" fillId="0" borderId="20" xfId="97" applyFont="1" applyFill="1" applyBorder="1" applyAlignment="1">
      <alignment horizontal="center" vertical="center"/>
    </xf>
    <xf numFmtId="0" fontId="27" fillId="34" borderId="90" xfId="1" applyFont="1" applyFill="1" applyBorder="1" applyAlignment="1">
      <alignment horizontal="left" vertical="center" wrapText="1"/>
    </xf>
    <xf numFmtId="49" fontId="23" fillId="0" borderId="22" xfId="0" applyNumberFormat="1" applyFont="1" applyFill="1" applyBorder="1" applyAlignment="1">
      <alignment horizontal="left" vertical="center"/>
    </xf>
    <xf numFmtId="49" fontId="23" fillId="0" borderId="60" xfId="0" applyNumberFormat="1" applyFont="1" applyFill="1" applyBorder="1" applyAlignment="1">
      <alignment horizontal="left" vertical="center"/>
    </xf>
    <xf numFmtId="0" fontId="23" fillId="0" borderId="20" xfId="97" applyFont="1" applyFill="1" applyBorder="1" applyAlignment="1">
      <alignment horizontal="left" vertical="center"/>
    </xf>
    <xf numFmtId="0" fontId="23" fillId="0" borderId="52" xfId="97" applyFont="1" applyFill="1" applyBorder="1" applyAlignment="1">
      <alignment horizontal="left" vertical="center"/>
    </xf>
    <xf numFmtId="0" fontId="11" fillId="3" borderId="89" xfId="2" applyFont="1" applyFill="1" applyBorder="1" applyAlignment="1">
      <alignment horizontal="center" vertical="center"/>
    </xf>
    <xf numFmtId="0" fontId="11" fillId="3" borderId="90" xfId="2" applyFont="1" applyFill="1" applyBorder="1" applyAlignment="1">
      <alignment horizontal="center" vertical="center"/>
    </xf>
    <xf numFmtId="0" fontId="11" fillId="3" borderId="91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left" vertical="center"/>
    </xf>
    <xf numFmtId="0" fontId="6" fillId="0" borderId="52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center" vertical="center"/>
    </xf>
    <xf numFmtId="0" fontId="23" fillId="0" borderId="54" xfId="0" applyFont="1" applyBorder="1" applyAlignment="1">
      <alignment horizontal="right"/>
    </xf>
    <xf numFmtId="0" fontId="13" fillId="8" borderId="57" xfId="0" applyFont="1" applyFill="1" applyBorder="1" applyAlignment="1">
      <alignment horizontal="center" vertical="center"/>
    </xf>
    <xf numFmtId="0" fontId="13" fillId="8" borderId="58" xfId="0" applyFont="1" applyFill="1" applyBorder="1" applyAlignment="1">
      <alignment horizontal="center" vertical="center"/>
    </xf>
    <xf numFmtId="0" fontId="23" fillId="0" borderId="21" xfId="0" applyNumberFormat="1" applyFont="1" applyFill="1" applyBorder="1" applyAlignment="1">
      <alignment horizontal="center" vertical="center"/>
    </xf>
    <xf numFmtId="0" fontId="23" fillId="0" borderId="23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7" fillId="34" borderId="90" xfId="1" applyFont="1" applyFill="1" applyBorder="1" applyAlignment="1">
      <alignment horizontal="center" vertical="center" wrapText="1"/>
    </xf>
    <xf numFmtId="0" fontId="27" fillId="0" borderId="36" xfId="1" applyFont="1" applyBorder="1" applyAlignment="1">
      <alignment horizontal="left" vertical="center"/>
    </xf>
    <xf numFmtId="0" fontId="27" fillId="0" borderId="83" xfId="1" applyFont="1" applyBorder="1" applyAlignment="1">
      <alignment horizontal="left" vertical="center"/>
    </xf>
    <xf numFmtId="0" fontId="27" fillId="0" borderId="95" xfId="1" applyFont="1" applyBorder="1" applyAlignment="1">
      <alignment horizontal="left" vertical="center"/>
    </xf>
    <xf numFmtId="0" fontId="27" fillId="0" borderId="128" xfId="1" applyFont="1" applyBorder="1" applyAlignment="1">
      <alignment horizontal="left" vertical="center"/>
    </xf>
    <xf numFmtId="0" fontId="27" fillId="0" borderId="37" xfId="1" applyFont="1" applyBorder="1" applyAlignment="1">
      <alignment horizontal="left" vertical="center"/>
    </xf>
    <xf numFmtId="0" fontId="27" fillId="0" borderId="129" xfId="1" applyFont="1" applyBorder="1" applyAlignment="1">
      <alignment horizontal="left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24" xfId="2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 wrapText="1"/>
    </xf>
    <xf numFmtId="0" fontId="32" fillId="3" borderId="0" xfId="1" applyFont="1" applyFill="1" applyBorder="1" applyAlignment="1">
      <alignment horizontal="center" vertical="center" wrapText="1"/>
    </xf>
    <xf numFmtId="0" fontId="55" fillId="0" borderId="48" xfId="1" applyFont="1" applyBorder="1" applyAlignment="1">
      <alignment horizontal="center" vertical="center"/>
    </xf>
    <xf numFmtId="0" fontId="55" fillId="0" borderId="63" xfId="1" applyFont="1" applyBorder="1" applyAlignment="1">
      <alignment horizontal="center" vertical="center"/>
    </xf>
    <xf numFmtId="0" fontId="55" fillId="0" borderId="117" xfId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47" fillId="0" borderId="56" xfId="0" applyNumberFormat="1" applyFont="1" applyFill="1" applyBorder="1" applyAlignment="1">
      <alignment horizontal="center"/>
    </xf>
    <xf numFmtId="1" fontId="47" fillId="0" borderId="53" xfId="0" applyNumberFormat="1" applyFont="1" applyFill="1" applyBorder="1" applyAlignment="1">
      <alignment horizontal="center"/>
    </xf>
    <xf numFmtId="1" fontId="47" fillId="0" borderId="47" xfId="0" applyNumberFormat="1" applyFont="1" applyFill="1" applyBorder="1" applyAlignment="1">
      <alignment horizontal="left" vertical="center"/>
    </xf>
    <xf numFmtId="1" fontId="47" fillId="0" borderId="62" xfId="0" applyNumberFormat="1" applyFont="1" applyFill="1" applyBorder="1" applyAlignment="1">
      <alignment horizontal="left" vertical="center"/>
    </xf>
    <xf numFmtId="40" fontId="47" fillId="0" borderId="47" xfId="7" applyNumberFormat="1" applyFont="1" applyFill="1" applyBorder="1" applyAlignment="1">
      <alignment horizontal="center" vertical="center"/>
    </xf>
    <xf numFmtId="40" fontId="47" fillId="0" borderId="62" xfId="7" applyNumberFormat="1" applyFont="1" applyFill="1" applyBorder="1" applyAlignment="1">
      <alignment horizontal="center" vertical="center"/>
    </xf>
    <xf numFmtId="167" fontId="47" fillId="0" borderId="54" xfId="7" quotePrefix="1" applyNumberFormat="1" applyFont="1" applyFill="1" applyBorder="1" applyAlignment="1">
      <alignment vertical="center"/>
    </xf>
    <xf numFmtId="167" fontId="47" fillId="0" borderId="54" xfId="7" quotePrefix="1" applyNumberFormat="1" applyFont="1" applyFill="1" applyBorder="1" applyAlignment="1">
      <alignment horizontal="center"/>
    </xf>
    <xf numFmtId="40" fontId="48" fillId="0" borderId="48" xfId="7" applyNumberFormat="1" applyFont="1" applyFill="1" applyBorder="1" applyAlignment="1">
      <alignment horizontal="center"/>
    </xf>
    <xf numFmtId="40" fontId="48" fillId="0" borderId="63" xfId="7" applyNumberFormat="1" applyFont="1" applyFill="1" applyBorder="1" applyAlignment="1">
      <alignment horizontal="center"/>
    </xf>
    <xf numFmtId="40" fontId="47" fillId="0" borderId="20" xfId="7" applyNumberFormat="1" applyFont="1" applyFill="1" applyBorder="1" applyAlignment="1">
      <alignment horizontal="center"/>
    </xf>
    <xf numFmtId="40" fontId="49" fillId="0" borderId="20" xfId="7" applyNumberFormat="1" applyFont="1" applyBorder="1" applyAlignment="1">
      <alignment horizontal="right"/>
    </xf>
    <xf numFmtId="1" fontId="49" fillId="0" borderId="59" xfId="0" applyNumberFormat="1" applyFont="1" applyBorder="1" applyAlignment="1">
      <alignment horizontal="left"/>
    </xf>
    <xf numFmtId="1" fontId="49" fillId="0" borderId="20" xfId="0" applyNumberFormat="1" applyFont="1" applyBorder="1" applyAlignment="1">
      <alignment horizontal="left"/>
    </xf>
    <xf numFmtId="1" fontId="49" fillId="0" borderId="51" xfId="0" applyNumberFormat="1" applyFont="1" applyBorder="1" applyAlignment="1">
      <alignment horizontal="left"/>
    </xf>
    <xf numFmtId="40" fontId="47" fillId="0" borderId="20" xfId="7" applyNumberFormat="1" applyFont="1" applyBorder="1" applyAlignment="1">
      <alignment horizontal="right" vertical="center"/>
    </xf>
    <xf numFmtId="40" fontId="49" fillId="0" borderId="20" xfId="7" applyNumberFormat="1" applyFont="1" applyFill="1" applyBorder="1" applyAlignment="1">
      <alignment horizontal="center"/>
    </xf>
    <xf numFmtId="40" fontId="31" fillId="0" borderId="65" xfId="0" applyNumberFormat="1" applyFont="1" applyFill="1" applyBorder="1" applyAlignment="1">
      <alignment horizontal="center" vertical="center"/>
    </xf>
    <xf numFmtId="40" fontId="31" fillId="0" borderId="66" xfId="0" applyNumberFormat="1" applyFont="1" applyFill="1" applyBorder="1" applyAlignment="1">
      <alignment horizontal="center" vertical="center"/>
    </xf>
    <xf numFmtId="40" fontId="49" fillId="0" borderId="65" xfId="7" applyNumberFormat="1" applyFont="1" applyFill="1" applyBorder="1" applyAlignment="1">
      <alignment horizontal="center" vertical="center"/>
    </xf>
    <xf numFmtId="40" fontId="49" fillId="0" borderId="50" xfId="7" applyNumberFormat="1" applyFont="1" applyFill="1" applyBorder="1" applyAlignment="1">
      <alignment horizontal="center" vertical="center"/>
    </xf>
    <xf numFmtId="175" fontId="31" fillId="0" borderId="20" xfId="0" applyNumberFormat="1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31" fillId="0" borderId="54" xfId="0" applyFont="1" applyFill="1" applyBorder="1" applyAlignment="1">
      <alignment horizontal="center" vertical="center"/>
    </xf>
  </cellXfs>
  <cellStyles count="100">
    <cellStyle name="20% - Accent1" xfId="14" xr:uid="{00000000-0005-0000-0000-000000000000}"/>
    <cellStyle name="20% - Accent2" xfId="15" xr:uid="{00000000-0005-0000-0000-000001000000}"/>
    <cellStyle name="20% - Accent3" xfId="16" xr:uid="{00000000-0005-0000-0000-000002000000}"/>
    <cellStyle name="20% - Accent4" xfId="17" xr:uid="{00000000-0005-0000-0000-000003000000}"/>
    <cellStyle name="20% - Accent5" xfId="18" xr:uid="{00000000-0005-0000-0000-000004000000}"/>
    <cellStyle name="20% - Accent6" xfId="19" xr:uid="{00000000-0005-0000-0000-000005000000}"/>
    <cellStyle name="20% - Ênfase1 2" xfId="20" xr:uid="{00000000-0005-0000-0000-000006000000}"/>
    <cellStyle name="20% - Ênfase2 2" xfId="21" xr:uid="{00000000-0005-0000-0000-000007000000}"/>
    <cellStyle name="20% - Ênfase3 2" xfId="22" xr:uid="{00000000-0005-0000-0000-000008000000}"/>
    <cellStyle name="20% - Ênfase4 2" xfId="23" xr:uid="{00000000-0005-0000-0000-000009000000}"/>
    <cellStyle name="20% - Ênfase5 2" xfId="24" xr:uid="{00000000-0005-0000-0000-00000A000000}"/>
    <cellStyle name="20% - Ênfase6 2" xfId="25" xr:uid="{00000000-0005-0000-0000-00000B000000}"/>
    <cellStyle name="40% - Accent1" xfId="26" xr:uid="{00000000-0005-0000-0000-00000C000000}"/>
    <cellStyle name="40% - Accent2" xfId="27" xr:uid="{00000000-0005-0000-0000-00000D000000}"/>
    <cellStyle name="40% - Accent3" xfId="28" xr:uid="{00000000-0005-0000-0000-00000E000000}"/>
    <cellStyle name="40% - Accent4" xfId="29" xr:uid="{00000000-0005-0000-0000-00000F000000}"/>
    <cellStyle name="40% - Accent5" xfId="30" xr:uid="{00000000-0005-0000-0000-000010000000}"/>
    <cellStyle name="40% - Accent6" xfId="31" xr:uid="{00000000-0005-0000-0000-000011000000}"/>
    <cellStyle name="40% - Ênfase1 2" xfId="32" xr:uid="{00000000-0005-0000-0000-000012000000}"/>
    <cellStyle name="40% - Ênfase2 2" xfId="33" xr:uid="{00000000-0005-0000-0000-000013000000}"/>
    <cellStyle name="40% - Ênfase3 2" xfId="34" xr:uid="{00000000-0005-0000-0000-000014000000}"/>
    <cellStyle name="40% - Ênfase4 2" xfId="35" xr:uid="{00000000-0005-0000-0000-000015000000}"/>
    <cellStyle name="40% - Ênfase5 2" xfId="36" xr:uid="{00000000-0005-0000-0000-000016000000}"/>
    <cellStyle name="40% - Ênfase6 2" xfId="37" xr:uid="{00000000-0005-0000-0000-000017000000}"/>
    <cellStyle name="60% - Accent1" xfId="38" xr:uid="{00000000-0005-0000-0000-000018000000}"/>
    <cellStyle name="60% - Accent2" xfId="39" xr:uid="{00000000-0005-0000-0000-000019000000}"/>
    <cellStyle name="60% - Accent3" xfId="40" xr:uid="{00000000-0005-0000-0000-00001A000000}"/>
    <cellStyle name="60% - Accent4" xfId="41" xr:uid="{00000000-0005-0000-0000-00001B000000}"/>
    <cellStyle name="60% - Accent5" xfId="42" xr:uid="{00000000-0005-0000-0000-00001C000000}"/>
    <cellStyle name="60% - Accent6" xfId="43" xr:uid="{00000000-0005-0000-0000-00001D000000}"/>
    <cellStyle name="60% - Ênfase1 2" xfId="44" xr:uid="{00000000-0005-0000-0000-00001E000000}"/>
    <cellStyle name="60% - Ênfase2 2" xfId="45" xr:uid="{00000000-0005-0000-0000-00001F000000}"/>
    <cellStyle name="60% - Ênfase3 2" xfId="46" xr:uid="{00000000-0005-0000-0000-000020000000}"/>
    <cellStyle name="60% - Ênfase4 2" xfId="47" xr:uid="{00000000-0005-0000-0000-000021000000}"/>
    <cellStyle name="60% - Ênfase5 2" xfId="48" xr:uid="{00000000-0005-0000-0000-000022000000}"/>
    <cellStyle name="60% - Ênfase6 2" xfId="49" xr:uid="{00000000-0005-0000-0000-000023000000}"/>
    <cellStyle name="Accent1" xfId="50" xr:uid="{00000000-0005-0000-0000-000024000000}"/>
    <cellStyle name="Accent2" xfId="51" xr:uid="{00000000-0005-0000-0000-000025000000}"/>
    <cellStyle name="Accent3" xfId="52" xr:uid="{00000000-0005-0000-0000-000026000000}"/>
    <cellStyle name="Accent4" xfId="53" xr:uid="{00000000-0005-0000-0000-000027000000}"/>
    <cellStyle name="Accent5" xfId="54" xr:uid="{00000000-0005-0000-0000-000028000000}"/>
    <cellStyle name="Accent6" xfId="55" xr:uid="{00000000-0005-0000-0000-000029000000}"/>
    <cellStyle name="Bad" xfId="56" xr:uid="{00000000-0005-0000-0000-00002A000000}"/>
    <cellStyle name="Bom 2" xfId="57" xr:uid="{00000000-0005-0000-0000-00002B000000}"/>
    <cellStyle name="Calculation" xfId="58" xr:uid="{00000000-0005-0000-0000-00002C000000}"/>
    <cellStyle name="Cálculo 2" xfId="59" xr:uid="{00000000-0005-0000-0000-00002D000000}"/>
    <cellStyle name="Célula de Verificação 2" xfId="60" xr:uid="{00000000-0005-0000-0000-00002E000000}"/>
    <cellStyle name="Célula Vinculada 2" xfId="61" xr:uid="{00000000-0005-0000-0000-00002F000000}"/>
    <cellStyle name="Check Cell" xfId="62" xr:uid="{00000000-0005-0000-0000-000030000000}"/>
    <cellStyle name="Ênfase1 2" xfId="63" xr:uid="{00000000-0005-0000-0000-000031000000}"/>
    <cellStyle name="Ênfase2 2" xfId="64" xr:uid="{00000000-0005-0000-0000-000032000000}"/>
    <cellStyle name="Ênfase3 2" xfId="65" xr:uid="{00000000-0005-0000-0000-000033000000}"/>
    <cellStyle name="Ênfase4 2" xfId="66" xr:uid="{00000000-0005-0000-0000-000034000000}"/>
    <cellStyle name="Ênfase5 2" xfId="67" xr:uid="{00000000-0005-0000-0000-000035000000}"/>
    <cellStyle name="Ênfase6 2" xfId="68" xr:uid="{00000000-0005-0000-0000-000036000000}"/>
    <cellStyle name="Entrada 2" xfId="69" xr:uid="{00000000-0005-0000-0000-000037000000}"/>
    <cellStyle name="Excel Built-in Normal" xfId="1" xr:uid="{00000000-0005-0000-0000-000038000000}"/>
    <cellStyle name="Explanatory Text" xfId="70" xr:uid="{00000000-0005-0000-0000-000039000000}"/>
    <cellStyle name="Good" xfId="71" xr:uid="{00000000-0005-0000-0000-00003A000000}"/>
    <cellStyle name="Heading 1" xfId="72" xr:uid="{00000000-0005-0000-0000-00003B000000}"/>
    <cellStyle name="Heading 2" xfId="73" xr:uid="{00000000-0005-0000-0000-00003C000000}"/>
    <cellStyle name="Heading 3" xfId="74" xr:uid="{00000000-0005-0000-0000-00003D000000}"/>
    <cellStyle name="Heading 4" xfId="75" xr:uid="{00000000-0005-0000-0000-00003E000000}"/>
    <cellStyle name="Incorreto 2" xfId="76" xr:uid="{00000000-0005-0000-0000-00003F000000}"/>
    <cellStyle name="Input" xfId="77" xr:uid="{00000000-0005-0000-0000-000040000000}"/>
    <cellStyle name="Linked Cell" xfId="78" xr:uid="{00000000-0005-0000-0000-000041000000}"/>
    <cellStyle name="Moeda 2" xfId="99" xr:uid="{00000000-0005-0000-0000-000042000000}"/>
    <cellStyle name="Moeda 3" xfId="13" xr:uid="{00000000-0005-0000-0000-000043000000}"/>
    <cellStyle name="Neutra 2" xfId="79" xr:uid="{00000000-0005-0000-0000-000044000000}"/>
    <cellStyle name="Neutral" xfId="80" xr:uid="{00000000-0005-0000-0000-000045000000}"/>
    <cellStyle name="Normal" xfId="0" builtinId="0"/>
    <cellStyle name="Normal 2" xfId="2" xr:uid="{00000000-0005-0000-0000-000047000000}"/>
    <cellStyle name="Normal 2 2" xfId="97" xr:uid="{00000000-0005-0000-0000-000048000000}"/>
    <cellStyle name="Normal 3" xfId="3" xr:uid="{00000000-0005-0000-0000-000049000000}"/>
    <cellStyle name="Normal 4" xfId="95" xr:uid="{00000000-0005-0000-0000-00004A000000}"/>
    <cellStyle name="Normal 5" xfId="98" xr:uid="{00000000-0005-0000-0000-00004B000000}"/>
    <cellStyle name="Normal_Plhanilhas  750" xfId="4" xr:uid="{00000000-0005-0000-0000-00004C000000}"/>
    <cellStyle name="Normal_Plhanilhas  750 2" xfId="12" xr:uid="{00000000-0005-0000-0000-00004D000000}"/>
    <cellStyle name="Nota 2" xfId="81" xr:uid="{00000000-0005-0000-0000-00004E000000}"/>
    <cellStyle name="Nota 3" xfId="96" xr:uid="{00000000-0005-0000-0000-00004F000000}"/>
    <cellStyle name="Note" xfId="82" xr:uid="{00000000-0005-0000-0000-000050000000}"/>
    <cellStyle name="Output" xfId="83" xr:uid="{00000000-0005-0000-0000-000051000000}"/>
    <cellStyle name="Porcentagem" xfId="5" builtinId="5"/>
    <cellStyle name="Porcentagem 2" xfId="6" xr:uid="{00000000-0005-0000-0000-000053000000}"/>
    <cellStyle name="Saída 2" xfId="84" xr:uid="{00000000-0005-0000-0000-000054000000}"/>
    <cellStyle name="Separador de milhares 2" xfId="8" xr:uid="{00000000-0005-0000-0000-000055000000}"/>
    <cellStyle name="Separador de milhares 3" xfId="9" xr:uid="{00000000-0005-0000-0000-000056000000}"/>
    <cellStyle name="Separador de milhares 4" xfId="10" xr:uid="{00000000-0005-0000-0000-000057000000}"/>
    <cellStyle name="Texto de Aviso 2" xfId="85" xr:uid="{00000000-0005-0000-0000-000058000000}"/>
    <cellStyle name="Texto Explicativo 2" xfId="86" xr:uid="{00000000-0005-0000-0000-000059000000}"/>
    <cellStyle name="Title" xfId="87" xr:uid="{00000000-0005-0000-0000-00005A000000}"/>
    <cellStyle name="Título 1 2" xfId="89" xr:uid="{00000000-0005-0000-0000-00005B000000}"/>
    <cellStyle name="Título 2 2" xfId="90" xr:uid="{00000000-0005-0000-0000-00005C000000}"/>
    <cellStyle name="Título 3 2" xfId="91" xr:uid="{00000000-0005-0000-0000-00005D000000}"/>
    <cellStyle name="Título 4 2" xfId="92" xr:uid="{00000000-0005-0000-0000-00005E000000}"/>
    <cellStyle name="Título 5" xfId="88" xr:uid="{00000000-0005-0000-0000-00005F000000}"/>
    <cellStyle name="Total 2" xfId="93" xr:uid="{00000000-0005-0000-0000-000060000000}"/>
    <cellStyle name="Vírgula" xfId="7" builtinId="3"/>
    <cellStyle name="Vírgula 2" xfId="11" xr:uid="{00000000-0005-0000-0000-000062000000}"/>
    <cellStyle name="Warning Text" xfId="94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2000250</xdr:colOff>
      <xdr:row>31</xdr:row>
      <xdr:rowOff>180975</xdr:rowOff>
    </xdr:from>
    <xdr:to>
      <xdr:col>2</xdr:col>
      <xdr:colOff>567266</xdr:colOff>
      <xdr:row>36</xdr:row>
      <xdr:rowOff>116718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1404429-4E40-4AB7-87CE-D0974E407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9782175"/>
          <a:ext cx="1576916" cy="973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2</xdr:col>
      <xdr:colOff>2676525</xdr:colOff>
      <xdr:row>22</xdr:row>
      <xdr:rowOff>47625</xdr:rowOff>
    </xdr:to>
    <xdr:sp macro="" textlink="">
      <xdr:nvSpPr>
        <xdr:cNvPr id="6145" name="AutoShape 1">
          <a:extLst>
            <a:ext uri="{FF2B5EF4-FFF2-40B4-BE49-F238E27FC236}">
              <a16:creationId xmlns:a16="http://schemas.microsoft.com/office/drawing/2014/main" id="{00000000-0008-0000-1400-000001180000}"/>
            </a:ext>
          </a:extLst>
        </xdr:cNvPr>
        <xdr:cNvSpPr>
          <a:spLocks noChangeAspect="1" noChangeArrowheads="1"/>
        </xdr:cNvSpPr>
      </xdr:nvSpPr>
      <xdr:spPr bwMode="auto">
        <a:xfrm>
          <a:off x="180975" y="4381500"/>
          <a:ext cx="5095875" cy="9048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2676525</xdr:colOff>
      <xdr:row>22</xdr:row>
      <xdr:rowOff>47625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80975" y="4381500"/>
          <a:ext cx="5095875" cy="90487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752475</xdr:colOff>
      <xdr:row>29</xdr:row>
      <xdr:rowOff>161925</xdr:rowOff>
    </xdr:from>
    <xdr:to>
      <xdr:col>2</xdr:col>
      <xdr:colOff>2787887</xdr:colOff>
      <xdr:row>36</xdr:row>
      <xdr:rowOff>1247775</xdr:rowOff>
    </xdr:to>
    <xdr:pic>
      <xdr:nvPicPr>
        <xdr:cNvPr id="6" name="Picture 16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5210175"/>
          <a:ext cx="5283437" cy="2419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2676525</xdr:colOff>
      <xdr:row>22</xdr:row>
      <xdr:rowOff>85725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19450"/>
          <a:ext cx="5095875" cy="904875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2</xdr:col>
      <xdr:colOff>2676525</xdr:colOff>
      <xdr:row>22</xdr:row>
      <xdr:rowOff>85725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609600" y="3219450"/>
          <a:ext cx="5095875" cy="9048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view="pageBreakPreview" zoomScaleSheetLayoutView="100" workbookViewId="0">
      <selection activeCell="E27" sqref="E27"/>
    </sheetView>
  </sheetViews>
  <sheetFormatPr defaultRowHeight="15.75" x14ac:dyDescent="0.2"/>
  <cols>
    <col min="1" max="1" width="11.85546875" style="234" customWidth="1"/>
    <col min="2" max="2" width="44.140625" style="234" customWidth="1"/>
    <col min="3" max="3" width="8.7109375" style="234" customWidth="1"/>
    <col min="4" max="7" width="9" style="234" bestFit="1" customWidth="1"/>
    <col min="8" max="8" width="8.7109375" style="234" hidden="1" customWidth="1"/>
    <col min="9" max="9" width="7.85546875" style="234" customWidth="1"/>
    <col min="10" max="10" width="9.5703125" style="234" customWidth="1"/>
    <col min="11" max="11" width="9.28515625" style="234" customWidth="1"/>
    <col min="12" max="12" width="8.42578125" style="234" customWidth="1"/>
    <col min="13" max="14" width="8.85546875" style="234" customWidth="1"/>
    <col min="15" max="15" width="9.42578125" style="234" hidden="1" customWidth="1"/>
    <col min="16" max="16" width="13.140625" style="234" customWidth="1"/>
    <col min="17" max="17" width="11.85546875" style="234" customWidth="1"/>
    <col min="18" max="18" width="9.140625" style="234"/>
    <col min="19" max="19" width="14.5703125" style="234" bestFit="1" customWidth="1"/>
    <col min="20" max="16384" width="9.140625" style="234"/>
  </cols>
  <sheetData>
    <row r="1" spans="1:18" ht="22.5" customHeight="1" x14ac:dyDescent="0.2">
      <c r="A1" s="981" t="str">
        <f>Terrap.!C1</f>
        <v>ESTADO DE MATO GROSSO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3"/>
    </row>
    <row r="2" spans="1:18" ht="22.5" customHeight="1" x14ac:dyDescent="0.2">
      <c r="A2" s="984" t="str">
        <f>Terrap.!C2</f>
        <v>PREFEITURA MUNICIPAL DE CLAUDIA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86"/>
    </row>
    <row r="3" spans="1:18" s="405" customFormat="1" ht="15" x14ac:dyDescent="0.2">
      <c r="A3" s="399" t="s">
        <v>55</v>
      </c>
      <c r="B3" s="987" t="str">
        <f>Terrap.!B3</f>
        <v>PAVIMENTAÇÃO ASFALTICA E DRENAGEM DE AGUAS PLUVIAIS</v>
      </c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8"/>
    </row>
    <row r="4" spans="1:18" s="405" customFormat="1" ht="15" x14ac:dyDescent="0.2">
      <c r="A4" s="399" t="s">
        <v>56</v>
      </c>
      <c r="B4" s="987" t="str">
        <f>Terrap.!B4</f>
        <v>DIVERSAS RUAS - PERIMETRO URBANO</v>
      </c>
      <c r="C4" s="987"/>
      <c r="D4" s="987"/>
      <c r="E4" s="987"/>
      <c r="F4" s="987"/>
      <c r="G4" s="987"/>
      <c r="H4" s="987"/>
      <c r="I4" s="987"/>
      <c r="J4" s="987"/>
      <c r="K4" s="987"/>
      <c r="L4" s="987"/>
      <c r="M4" s="987"/>
      <c r="N4" s="987"/>
      <c r="O4" s="991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  <c r="P4" s="991"/>
      <c r="Q4" s="992"/>
    </row>
    <row r="5" spans="1:18" s="405" customFormat="1" ht="39" customHeight="1" x14ac:dyDescent="0.2">
      <c r="A5" s="399" t="s">
        <v>57</v>
      </c>
      <c r="B5" s="987" t="str">
        <f>Terrap.!B5</f>
        <v>PREFEITURA MUNICIPAL DE CLAUDIA</v>
      </c>
      <c r="C5" s="987"/>
      <c r="D5" s="987"/>
      <c r="E5" s="987"/>
      <c r="F5" s="987"/>
      <c r="G5" s="987"/>
      <c r="H5" s="987"/>
      <c r="I5" s="987"/>
      <c r="J5" s="987"/>
      <c r="K5" s="401" t="s">
        <v>374</v>
      </c>
      <c r="L5" s="989" t="str">
        <f>Terrap.!F5</f>
        <v>JANEIRO / 2019</v>
      </c>
      <c r="M5" s="989"/>
      <c r="N5" s="989"/>
      <c r="O5" s="991"/>
      <c r="P5" s="991"/>
      <c r="Q5" s="992"/>
    </row>
    <row r="6" spans="1:18" s="405" customFormat="1" thickBot="1" x14ac:dyDescent="0.25">
      <c r="A6" s="402" t="s">
        <v>58</v>
      </c>
      <c r="B6" s="990">
        <f>Pavim.!B6</f>
        <v>37813.870000000003</v>
      </c>
      <c r="C6" s="990"/>
      <c r="D6" s="990"/>
      <c r="E6" s="990"/>
      <c r="F6" s="990"/>
      <c r="G6" s="990"/>
      <c r="H6" s="990"/>
      <c r="I6" s="990"/>
      <c r="J6" s="990"/>
      <c r="K6" s="403" t="s">
        <v>59</v>
      </c>
      <c r="L6" s="404">
        <f>Terrap.!F6</f>
        <v>0.20699999999999999</v>
      </c>
      <c r="M6" s="404"/>
      <c r="N6" s="403" t="s">
        <v>60</v>
      </c>
      <c r="O6" s="993"/>
      <c r="P6" s="993"/>
      <c r="Q6" s="994"/>
    </row>
    <row r="7" spans="1:18" ht="25.5" customHeight="1" thickBot="1" x14ac:dyDescent="0.25">
      <c r="A7" s="978" t="s">
        <v>305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80"/>
    </row>
    <row r="8" spans="1:18" s="243" customFormat="1" ht="23.25" customHeight="1" x14ac:dyDescent="0.2">
      <c r="A8" s="997" t="s">
        <v>0</v>
      </c>
      <c r="B8" s="972" t="s">
        <v>87</v>
      </c>
      <c r="C8" s="972" t="s">
        <v>88</v>
      </c>
      <c r="D8" s="972"/>
      <c r="E8" s="972"/>
      <c r="F8" s="972"/>
      <c r="G8" s="972"/>
      <c r="H8" s="972"/>
      <c r="I8" s="974" t="s">
        <v>89</v>
      </c>
      <c r="J8" s="975"/>
      <c r="K8" s="976" t="s">
        <v>178</v>
      </c>
      <c r="L8" s="976" t="s">
        <v>179</v>
      </c>
      <c r="M8" s="976" t="s">
        <v>243</v>
      </c>
      <c r="N8" s="976" t="s">
        <v>254</v>
      </c>
      <c r="O8" s="976" t="s">
        <v>255</v>
      </c>
      <c r="P8" s="972" t="s">
        <v>90</v>
      </c>
      <c r="Q8" s="995" t="s">
        <v>91</v>
      </c>
    </row>
    <row r="9" spans="1:18" s="243" customFormat="1" ht="23.25" customHeight="1" x14ac:dyDescent="0.2">
      <c r="A9" s="998"/>
      <c r="B9" s="973"/>
      <c r="C9" s="391" t="s">
        <v>92</v>
      </c>
      <c r="D9" s="391" t="s">
        <v>93</v>
      </c>
      <c r="E9" s="391" t="s">
        <v>94</v>
      </c>
      <c r="F9" s="391" t="s">
        <v>95</v>
      </c>
      <c r="G9" s="391" t="s">
        <v>96</v>
      </c>
      <c r="H9" s="391" t="s">
        <v>303</v>
      </c>
      <c r="I9" s="391" t="s">
        <v>97</v>
      </c>
      <c r="J9" s="391" t="s">
        <v>244</v>
      </c>
      <c r="K9" s="977"/>
      <c r="L9" s="977"/>
      <c r="M9" s="977"/>
      <c r="N9" s="977"/>
      <c r="O9" s="977"/>
      <c r="P9" s="973"/>
      <c r="Q9" s="996"/>
    </row>
    <row r="10" spans="1:18" s="243" customFormat="1" ht="15.75" customHeight="1" x14ac:dyDescent="0.2">
      <c r="A10" s="963" t="s">
        <v>644</v>
      </c>
      <c r="B10" s="964"/>
      <c r="C10" s="736"/>
      <c r="D10" s="736"/>
      <c r="E10" s="736"/>
      <c r="F10" s="736"/>
      <c r="G10" s="736"/>
      <c r="H10" s="736"/>
      <c r="I10" s="736"/>
      <c r="J10" s="736"/>
      <c r="K10" s="737"/>
      <c r="L10" s="737"/>
      <c r="M10" s="737"/>
      <c r="N10" s="737"/>
      <c r="O10" s="737"/>
      <c r="P10" s="736"/>
      <c r="Q10" s="735"/>
    </row>
    <row r="11" spans="1:18" x14ac:dyDescent="0.2">
      <c r="A11" s="244"/>
      <c r="B11" s="397" t="s">
        <v>637</v>
      </c>
      <c r="C11" s="236">
        <f>I11*8</f>
        <v>176</v>
      </c>
      <c r="D11" s="236">
        <f>75*3</f>
        <v>225</v>
      </c>
      <c r="E11" s="236">
        <f>106*3</f>
        <v>318</v>
      </c>
      <c r="F11" s="236"/>
      <c r="G11" s="236"/>
      <c r="H11" s="236"/>
      <c r="I11" s="237">
        <f>4*4+3*2</f>
        <v>22</v>
      </c>
      <c r="J11" s="237"/>
      <c r="K11" s="237">
        <v>3</v>
      </c>
      <c r="L11" s="238">
        <v>3</v>
      </c>
      <c r="M11" s="238"/>
      <c r="N11" s="238">
        <v>1</v>
      </c>
      <c r="O11" s="238"/>
      <c r="P11" s="238"/>
      <c r="Q11" s="245"/>
      <c r="R11" s="239"/>
    </row>
    <row r="12" spans="1:18" x14ac:dyDescent="0.2">
      <c r="A12" s="244"/>
      <c r="B12" s="397" t="s">
        <v>638</v>
      </c>
      <c r="C12" s="236">
        <f t="shared" ref="C12:C13" si="0">I12*8</f>
        <v>176</v>
      </c>
      <c r="D12" s="236">
        <f t="shared" ref="D12:D13" si="1">75*3</f>
        <v>225</v>
      </c>
      <c r="E12" s="236">
        <f t="shared" ref="E12:E13" si="2">106*3</f>
        <v>318</v>
      </c>
      <c r="F12" s="236"/>
      <c r="G12" s="236"/>
      <c r="H12" s="236"/>
      <c r="I12" s="237">
        <f t="shared" ref="I12:I13" si="3">4*4+3*2</f>
        <v>22</v>
      </c>
      <c r="J12" s="237"/>
      <c r="K12" s="237">
        <v>3</v>
      </c>
      <c r="L12" s="238">
        <v>3</v>
      </c>
      <c r="M12" s="238"/>
      <c r="N12" s="238">
        <v>1</v>
      </c>
      <c r="O12" s="238"/>
      <c r="P12" s="238"/>
      <c r="Q12" s="245"/>
      <c r="R12" s="239"/>
    </row>
    <row r="13" spans="1:18" x14ac:dyDescent="0.2">
      <c r="A13" s="244"/>
      <c r="B13" s="397" t="s">
        <v>639</v>
      </c>
      <c r="C13" s="236">
        <f t="shared" si="0"/>
        <v>176</v>
      </c>
      <c r="D13" s="236">
        <f t="shared" si="1"/>
        <v>225</v>
      </c>
      <c r="E13" s="236">
        <f t="shared" si="2"/>
        <v>318</v>
      </c>
      <c r="F13" s="236"/>
      <c r="G13" s="236"/>
      <c r="H13" s="236"/>
      <c r="I13" s="237">
        <f t="shared" si="3"/>
        <v>22</v>
      </c>
      <c r="J13" s="237"/>
      <c r="K13" s="237">
        <v>3</v>
      </c>
      <c r="L13" s="238">
        <v>3</v>
      </c>
      <c r="M13" s="238"/>
      <c r="N13" s="238">
        <v>1</v>
      </c>
      <c r="O13" s="238"/>
      <c r="P13" s="238"/>
      <c r="Q13" s="245"/>
      <c r="R13" s="239"/>
    </row>
    <row r="14" spans="1:18" x14ac:dyDescent="0.2">
      <c r="A14" s="244"/>
      <c r="B14" s="397" t="s">
        <v>634</v>
      </c>
      <c r="C14" s="236">
        <v>24</v>
      </c>
      <c r="D14" s="236"/>
      <c r="E14" s="236"/>
      <c r="F14" s="236"/>
      <c r="G14" s="236"/>
      <c r="H14" s="236"/>
      <c r="I14" s="237">
        <v>2</v>
      </c>
      <c r="J14" s="237"/>
      <c r="K14" s="237"/>
      <c r="L14" s="238"/>
      <c r="M14" s="238"/>
      <c r="N14" s="238">
        <v>1</v>
      </c>
      <c r="O14" s="238"/>
      <c r="P14" s="238"/>
      <c r="Q14" s="245"/>
      <c r="R14" s="239"/>
    </row>
    <row r="15" spans="1:18" x14ac:dyDescent="0.2">
      <c r="A15" s="244"/>
      <c r="B15" s="397"/>
      <c r="C15" s="236"/>
      <c r="D15" s="236"/>
      <c r="E15" s="236"/>
      <c r="F15" s="236"/>
      <c r="G15" s="236"/>
      <c r="H15" s="236"/>
      <c r="I15" s="237"/>
      <c r="J15" s="237"/>
      <c r="K15" s="237"/>
      <c r="L15" s="238"/>
      <c r="M15" s="238"/>
      <c r="N15" s="238"/>
      <c r="O15" s="238"/>
      <c r="P15" s="238"/>
      <c r="Q15" s="245"/>
      <c r="R15" s="239"/>
    </row>
    <row r="16" spans="1:18" x14ac:dyDescent="0.2">
      <c r="A16" s="963" t="s">
        <v>645</v>
      </c>
      <c r="B16" s="964"/>
      <c r="C16" s="236"/>
      <c r="D16" s="236"/>
      <c r="E16" s="236"/>
      <c r="F16" s="236"/>
      <c r="G16" s="236"/>
      <c r="H16" s="236"/>
      <c r="I16" s="237"/>
      <c r="J16" s="237"/>
      <c r="K16" s="237"/>
      <c r="L16" s="238"/>
      <c r="M16" s="238"/>
      <c r="N16" s="238"/>
      <c r="O16" s="238"/>
      <c r="P16" s="238"/>
      <c r="Q16" s="245"/>
      <c r="R16" s="239"/>
    </row>
    <row r="17" spans="1:19" x14ac:dyDescent="0.2">
      <c r="A17" s="244"/>
      <c r="B17" s="397" t="s">
        <v>646</v>
      </c>
      <c r="C17" s="236">
        <f t="shared" ref="C17" si="4">I17*8</f>
        <v>64</v>
      </c>
      <c r="D17" s="236"/>
      <c r="E17" s="236">
        <f>106*2</f>
        <v>212</v>
      </c>
      <c r="F17" s="236"/>
      <c r="G17" s="236"/>
      <c r="H17" s="236"/>
      <c r="I17" s="237">
        <v>8</v>
      </c>
      <c r="J17" s="237"/>
      <c r="K17" s="237"/>
      <c r="L17" s="238">
        <v>2</v>
      </c>
      <c r="M17" s="238"/>
      <c r="N17" s="238"/>
      <c r="O17" s="238"/>
      <c r="P17" s="238"/>
      <c r="Q17" s="245"/>
      <c r="R17" s="239"/>
    </row>
    <row r="18" spans="1:19" x14ac:dyDescent="0.2">
      <c r="A18" s="244"/>
      <c r="B18" s="397" t="s">
        <v>647</v>
      </c>
      <c r="C18" s="236">
        <f t="shared" ref="C18:C19" si="5">I18*8</f>
        <v>96</v>
      </c>
      <c r="D18" s="236">
        <f>75*2</f>
        <v>150</v>
      </c>
      <c r="E18" s="236">
        <f>106*2</f>
        <v>212</v>
      </c>
      <c r="F18" s="236"/>
      <c r="G18" s="236"/>
      <c r="H18" s="236"/>
      <c r="I18" s="237">
        <v>12</v>
      </c>
      <c r="J18" s="237"/>
      <c r="K18" s="237">
        <v>2</v>
      </c>
      <c r="L18" s="238">
        <v>2</v>
      </c>
      <c r="M18" s="238"/>
      <c r="N18" s="238"/>
      <c r="O18" s="238"/>
      <c r="P18" s="238"/>
      <c r="Q18" s="245"/>
      <c r="R18" s="239"/>
    </row>
    <row r="19" spans="1:19" x14ac:dyDescent="0.2">
      <c r="A19" s="244"/>
      <c r="B19" s="397" t="s">
        <v>640</v>
      </c>
      <c r="C19" s="236">
        <f t="shared" si="5"/>
        <v>112</v>
      </c>
      <c r="D19" s="236"/>
      <c r="E19" s="236"/>
      <c r="F19" s="236"/>
      <c r="G19" s="236"/>
      <c r="H19" s="236"/>
      <c r="I19" s="237">
        <f>4*2+2*3</f>
        <v>14</v>
      </c>
      <c r="J19" s="237"/>
      <c r="K19" s="237"/>
      <c r="L19" s="238"/>
      <c r="M19" s="238"/>
      <c r="N19" s="238">
        <v>5</v>
      </c>
      <c r="O19" s="238"/>
      <c r="P19" s="238"/>
      <c r="Q19" s="245"/>
      <c r="R19" s="239"/>
    </row>
    <row r="20" spans="1:19" x14ac:dyDescent="0.2">
      <c r="A20" s="244"/>
      <c r="B20" s="397"/>
      <c r="C20" s="236"/>
      <c r="D20" s="236"/>
      <c r="E20" s="236"/>
      <c r="F20" s="236"/>
      <c r="G20" s="236"/>
      <c r="H20" s="236"/>
      <c r="I20" s="237"/>
      <c r="J20" s="237"/>
      <c r="K20" s="237"/>
      <c r="L20" s="238"/>
      <c r="M20" s="238"/>
      <c r="N20" s="238"/>
      <c r="O20" s="238"/>
      <c r="P20" s="238"/>
      <c r="Q20" s="245"/>
      <c r="R20" s="239"/>
    </row>
    <row r="21" spans="1:19" x14ac:dyDescent="0.2">
      <c r="A21" s="244"/>
      <c r="B21" s="397"/>
      <c r="C21" s="236"/>
      <c r="D21" s="236"/>
      <c r="E21" s="236"/>
      <c r="F21" s="236"/>
      <c r="G21" s="236"/>
      <c r="H21" s="236"/>
      <c r="I21" s="237"/>
      <c r="J21" s="237"/>
      <c r="K21" s="237"/>
      <c r="L21" s="238"/>
      <c r="M21" s="238"/>
      <c r="N21" s="238"/>
      <c r="O21" s="238"/>
      <c r="P21" s="238"/>
      <c r="Q21" s="245"/>
      <c r="R21" s="239"/>
    </row>
    <row r="22" spans="1:19" x14ac:dyDescent="0.2">
      <c r="A22" s="244"/>
      <c r="B22" s="235"/>
      <c r="C22" s="236"/>
      <c r="D22" s="236"/>
      <c r="E22" s="236"/>
      <c r="F22" s="236"/>
      <c r="G22" s="236"/>
      <c r="H22" s="236"/>
      <c r="I22" s="237"/>
      <c r="J22" s="237"/>
      <c r="K22" s="371"/>
      <c r="L22" s="238"/>
      <c r="M22" s="238"/>
      <c r="N22" s="238"/>
      <c r="O22" s="372"/>
      <c r="P22" s="238"/>
      <c r="Q22" s="245"/>
      <c r="R22" s="239"/>
    </row>
    <row r="23" spans="1:19" ht="18.75" customHeight="1" x14ac:dyDescent="0.2">
      <c r="A23" s="970" t="s">
        <v>98</v>
      </c>
      <c r="B23" s="971"/>
      <c r="C23" s="240">
        <f t="shared" ref="C23:H23" si="6">SUM(C11:C21)</f>
        <v>824</v>
      </c>
      <c r="D23" s="240">
        <f t="shared" si="6"/>
        <v>825</v>
      </c>
      <c r="E23" s="240">
        <f t="shared" si="6"/>
        <v>1378</v>
      </c>
      <c r="F23" s="240">
        <f t="shared" si="6"/>
        <v>0</v>
      </c>
      <c r="G23" s="240">
        <f t="shared" si="6"/>
        <v>0</v>
      </c>
      <c r="H23" s="240">
        <f t="shared" si="6"/>
        <v>0</v>
      </c>
      <c r="I23" s="971">
        <f t="shared" ref="I23:Q23" si="7">SUM(I11:I22)</f>
        <v>102</v>
      </c>
      <c r="J23" s="971">
        <f t="shared" si="7"/>
        <v>0</v>
      </c>
      <c r="K23" s="971">
        <f t="shared" si="7"/>
        <v>11</v>
      </c>
      <c r="L23" s="971">
        <f t="shared" si="7"/>
        <v>13</v>
      </c>
      <c r="M23" s="971">
        <f t="shared" si="7"/>
        <v>0</v>
      </c>
      <c r="N23" s="971">
        <f t="shared" si="7"/>
        <v>9</v>
      </c>
      <c r="O23" s="971">
        <f t="shared" si="7"/>
        <v>0</v>
      </c>
      <c r="P23" s="971">
        <f t="shared" si="7"/>
        <v>0</v>
      </c>
      <c r="Q23" s="965">
        <f t="shared" si="7"/>
        <v>0</v>
      </c>
      <c r="S23" s="381">
        <f>Orçam.!M90</f>
        <v>-3367885.17</v>
      </c>
    </row>
    <row r="24" spans="1:19" ht="18.75" customHeight="1" thickBot="1" x14ac:dyDescent="0.25">
      <c r="A24" s="967" t="s">
        <v>99</v>
      </c>
      <c r="B24" s="968"/>
      <c r="C24" s="969">
        <f>SUM(C23:H23)</f>
        <v>3027</v>
      </c>
      <c r="D24" s="968"/>
      <c r="E24" s="968"/>
      <c r="F24" s="968"/>
      <c r="G24" s="968"/>
      <c r="H24" s="968"/>
      <c r="I24" s="968"/>
      <c r="J24" s="968"/>
      <c r="K24" s="968"/>
      <c r="L24" s="968"/>
      <c r="M24" s="968"/>
      <c r="N24" s="968"/>
      <c r="O24" s="968"/>
      <c r="P24" s="968"/>
      <c r="Q24" s="966"/>
    </row>
    <row r="26" spans="1:19" ht="87" customHeight="1" x14ac:dyDescent="0.2">
      <c r="C26" s="241"/>
      <c r="D26" s="241"/>
    </row>
    <row r="27" spans="1:19" x14ac:dyDescent="0.2">
      <c r="B27" s="241" t="str">
        <f>Terrap.!B28</f>
        <v>ROBSON DARCIO SOUSA</v>
      </c>
    </row>
    <row r="28" spans="1:19" x14ac:dyDescent="0.2">
      <c r="B28" s="242" t="str">
        <f>Terrap.!B29</f>
        <v>ENGº CIVIL CREA: 120.263.916-0</v>
      </c>
    </row>
  </sheetData>
  <mergeCells count="34">
    <mergeCell ref="A10:B10"/>
    <mergeCell ref="A7:Q7"/>
    <mergeCell ref="A1:Q1"/>
    <mergeCell ref="A2:Q2"/>
    <mergeCell ref="B3:Q3"/>
    <mergeCell ref="L5:N5"/>
    <mergeCell ref="B5:J5"/>
    <mergeCell ref="B6:J6"/>
    <mergeCell ref="B4:N4"/>
    <mergeCell ref="O4:Q6"/>
    <mergeCell ref="Q8:Q9"/>
    <mergeCell ref="P8:P9"/>
    <mergeCell ref="A8:A9"/>
    <mergeCell ref="K8:K9"/>
    <mergeCell ref="N8:N9"/>
    <mergeCell ref="O8:O9"/>
    <mergeCell ref="B8:B9"/>
    <mergeCell ref="C8:H8"/>
    <mergeCell ref="I8:J8"/>
    <mergeCell ref="M8:M9"/>
    <mergeCell ref="L8:L9"/>
    <mergeCell ref="A16:B16"/>
    <mergeCell ref="Q23:Q24"/>
    <mergeCell ref="A24:B24"/>
    <mergeCell ref="C24:H24"/>
    <mergeCell ref="A23:B23"/>
    <mergeCell ref="I23:I24"/>
    <mergeCell ref="J23:J24"/>
    <mergeCell ref="M23:M24"/>
    <mergeCell ref="P23:P24"/>
    <mergeCell ref="L23:L24"/>
    <mergeCell ref="K23:K24"/>
    <mergeCell ref="N23:N24"/>
    <mergeCell ref="O23:O24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7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6"/>
  <sheetViews>
    <sheetView view="pageBreakPreview" topLeftCell="A18" zoomScale="115" zoomScaleSheetLayoutView="115" workbookViewId="0">
      <selection activeCell="F44" sqref="F44"/>
    </sheetView>
  </sheetViews>
  <sheetFormatPr defaultRowHeight="12.75" x14ac:dyDescent="0.2"/>
  <cols>
    <col min="1" max="1" width="11.85546875" style="269" customWidth="1"/>
    <col min="2" max="2" width="44" style="269" customWidth="1"/>
    <col min="3" max="3" width="15.42578125" style="269" customWidth="1"/>
    <col min="4" max="4" width="14.28515625" style="269" customWidth="1"/>
    <col min="5" max="5" width="10" style="269" customWidth="1"/>
    <col min="6" max="6" width="9.140625" style="269"/>
    <col min="7" max="7" width="7.28515625" style="269" customWidth="1"/>
    <col min="8" max="8" width="11.85546875" style="269" customWidth="1"/>
    <col min="9" max="9" width="16.7109375" style="269" customWidth="1"/>
    <col min="10" max="10" width="14.5703125" style="269" customWidth="1"/>
    <col min="11" max="16384" width="9.140625" style="269"/>
  </cols>
  <sheetData>
    <row r="1" spans="1:10" ht="48" customHeight="1" x14ac:dyDescent="0.2">
      <c r="A1" s="1183" t="s">
        <v>556</v>
      </c>
      <c r="B1" s="1184"/>
      <c r="C1" s="982" t="s">
        <v>54</v>
      </c>
      <c r="D1" s="982"/>
      <c r="E1" s="982"/>
      <c r="F1" s="982"/>
      <c r="G1" s="982"/>
      <c r="H1" s="982"/>
      <c r="I1" s="982"/>
      <c r="J1" s="983"/>
    </row>
    <row r="2" spans="1:10" ht="48" customHeight="1" x14ac:dyDescent="0.2">
      <c r="A2" s="1185"/>
      <c r="B2" s="1186"/>
      <c r="C2" s="985" t="s">
        <v>630</v>
      </c>
      <c r="D2" s="985"/>
      <c r="E2" s="985"/>
      <c r="F2" s="985"/>
      <c r="G2" s="985"/>
      <c r="H2" s="985"/>
      <c r="I2" s="985"/>
      <c r="J2" s="986"/>
    </row>
    <row r="3" spans="1:10" ht="15" x14ac:dyDescent="0.2">
      <c r="A3" s="399" t="s">
        <v>55</v>
      </c>
      <c r="B3" s="987" t="s">
        <v>663</v>
      </c>
      <c r="C3" s="987"/>
      <c r="D3" s="987"/>
      <c r="E3" s="987"/>
      <c r="F3" s="987"/>
      <c r="G3" s="987"/>
      <c r="H3" s="987"/>
      <c r="I3" s="987"/>
      <c r="J3" s="988"/>
    </row>
    <row r="4" spans="1:10" ht="15" x14ac:dyDescent="0.2">
      <c r="A4" s="399" t="s">
        <v>56</v>
      </c>
      <c r="B4" s="987" t="s">
        <v>629</v>
      </c>
      <c r="C4" s="987"/>
      <c r="D4" s="987"/>
      <c r="E4" s="987"/>
      <c r="F4" s="987"/>
      <c r="G4" s="987"/>
      <c r="H4" s="987"/>
      <c r="I4" s="991" t="s">
        <v>703</v>
      </c>
      <c r="J4" s="992"/>
    </row>
    <row r="5" spans="1:10" ht="15" x14ac:dyDescent="0.2">
      <c r="A5" s="399" t="s">
        <v>57</v>
      </c>
      <c r="B5" s="987" t="s">
        <v>630</v>
      </c>
      <c r="C5" s="987"/>
      <c r="D5" s="987"/>
      <c r="E5" s="401" t="s">
        <v>374</v>
      </c>
      <c r="F5" s="989" t="s">
        <v>701</v>
      </c>
      <c r="G5" s="989"/>
      <c r="H5" s="989"/>
      <c r="I5" s="991"/>
      <c r="J5" s="992"/>
    </row>
    <row r="6" spans="1:10" ht="15.75" thickBot="1" x14ac:dyDescent="0.25">
      <c r="A6" s="402" t="s">
        <v>58</v>
      </c>
      <c r="B6" s="990">
        <v>37813.870000000003</v>
      </c>
      <c r="C6" s="990"/>
      <c r="D6" s="990"/>
      <c r="E6" s="403" t="s">
        <v>59</v>
      </c>
      <c r="F6" s="1187">
        <v>0.20699999999999999</v>
      </c>
      <c r="G6" s="1187"/>
      <c r="H6" s="403" t="s">
        <v>60</v>
      </c>
      <c r="I6" s="993"/>
      <c r="J6" s="994"/>
    </row>
    <row r="7" spans="1:10" s="591" customFormat="1" ht="19.5" customHeight="1" thickBot="1" x14ac:dyDescent="0.25">
      <c r="A7" s="1230" t="s">
        <v>227</v>
      </c>
      <c r="B7" s="1231"/>
      <c r="C7" s="1231"/>
      <c r="D7" s="1231"/>
      <c r="E7" s="1231"/>
      <c r="F7" s="1231"/>
      <c r="G7" s="1231"/>
      <c r="H7" s="1231"/>
      <c r="I7" s="1231"/>
      <c r="J7" s="1232"/>
    </row>
    <row r="8" spans="1:10" s="780" customFormat="1" ht="20.25" customHeight="1" x14ac:dyDescent="0.2">
      <c r="A8" s="1233" t="s">
        <v>61</v>
      </c>
      <c r="B8" s="1235" t="s">
        <v>62</v>
      </c>
      <c r="C8" s="1235" t="s">
        <v>380</v>
      </c>
      <c r="D8" s="1235"/>
      <c r="E8" s="1235" t="s">
        <v>390</v>
      </c>
      <c r="F8" s="1235" t="s">
        <v>64</v>
      </c>
      <c r="G8" s="1235"/>
      <c r="H8" s="1235"/>
      <c r="I8" s="1235"/>
      <c r="J8" s="1275" t="s">
        <v>536</v>
      </c>
    </row>
    <row r="9" spans="1:10" s="780" customFormat="1" ht="28.5" customHeight="1" x14ac:dyDescent="0.2">
      <c r="A9" s="1234"/>
      <c r="B9" s="1236"/>
      <c r="C9" s="711" t="s">
        <v>71</v>
      </c>
      <c r="D9" s="711" t="s">
        <v>100</v>
      </c>
      <c r="E9" s="1236"/>
      <c r="F9" s="711" t="s">
        <v>66</v>
      </c>
      <c r="G9" s="711" t="s">
        <v>67</v>
      </c>
      <c r="H9" s="711" t="s">
        <v>391</v>
      </c>
      <c r="I9" s="711" t="s">
        <v>392</v>
      </c>
      <c r="J9" s="1276"/>
    </row>
    <row r="10" spans="1:10" s="591" customFormat="1" ht="14.25" hidden="1" x14ac:dyDescent="0.2">
      <c r="A10" s="1212" t="s">
        <v>385</v>
      </c>
      <c r="B10" s="1213"/>
      <c r="C10" s="1213"/>
      <c r="D10" s="1213"/>
      <c r="E10" s="1213"/>
      <c r="F10" s="1213"/>
      <c r="G10" s="1213"/>
      <c r="H10" s="1213"/>
      <c r="I10" s="1213"/>
      <c r="J10" s="1274"/>
    </row>
    <row r="11" spans="1:10" s="591" customFormat="1" ht="15" x14ac:dyDescent="0.2">
      <c r="A11" s="588">
        <v>1</v>
      </c>
      <c r="B11" s="473" t="s">
        <v>631</v>
      </c>
      <c r="C11" s="382">
        <v>552.15</v>
      </c>
      <c r="D11" s="382">
        <v>552.15</v>
      </c>
      <c r="E11" s="382">
        <v>1104.3</v>
      </c>
      <c r="F11" s="474" t="s">
        <v>349</v>
      </c>
      <c r="G11" s="383">
        <v>6</v>
      </c>
      <c r="H11" s="384">
        <v>12.16</v>
      </c>
      <c r="I11" s="384">
        <v>72.959999999999994</v>
      </c>
      <c r="J11" s="595">
        <v>1177.26</v>
      </c>
    </row>
    <row r="12" spans="1:10" s="591" customFormat="1" ht="15" x14ac:dyDescent="0.2">
      <c r="A12" s="700">
        <v>2</v>
      </c>
      <c r="B12" s="909" t="s">
        <v>632</v>
      </c>
      <c r="C12" s="702">
        <v>552.15</v>
      </c>
      <c r="D12" s="702">
        <v>552.15</v>
      </c>
      <c r="E12" s="702">
        <v>1104.3</v>
      </c>
      <c r="F12" s="910" t="s">
        <v>349</v>
      </c>
      <c r="G12" s="383">
        <v>6</v>
      </c>
      <c r="H12" s="384">
        <v>12.16</v>
      </c>
      <c r="I12" s="384">
        <v>72.959999999999994</v>
      </c>
      <c r="J12" s="704">
        <v>1177.26</v>
      </c>
    </row>
    <row r="13" spans="1:10" s="591" customFormat="1" ht="15" x14ac:dyDescent="0.2">
      <c r="A13" s="700">
        <v>3</v>
      </c>
      <c r="B13" s="909" t="s">
        <v>633</v>
      </c>
      <c r="C13" s="702">
        <v>735.13</v>
      </c>
      <c r="D13" s="702">
        <v>751.15</v>
      </c>
      <c r="E13" s="702">
        <v>1486.28</v>
      </c>
      <c r="F13" s="910" t="s">
        <v>349</v>
      </c>
      <c r="G13" s="383">
        <v>8</v>
      </c>
      <c r="H13" s="384">
        <v>12.16</v>
      </c>
      <c r="I13" s="384">
        <v>97.28</v>
      </c>
      <c r="J13" s="704">
        <v>1583.56</v>
      </c>
    </row>
    <row r="14" spans="1:10" s="591" customFormat="1" ht="15" x14ac:dyDescent="0.2">
      <c r="A14" s="700">
        <v>4</v>
      </c>
      <c r="B14" s="918" t="s">
        <v>634</v>
      </c>
      <c r="C14" s="702">
        <v>199</v>
      </c>
      <c r="D14" s="702">
        <v>199</v>
      </c>
      <c r="E14" s="702">
        <v>398</v>
      </c>
      <c r="F14" s="919" t="s">
        <v>349</v>
      </c>
      <c r="G14" s="383">
        <v>1</v>
      </c>
      <c r="H14" s="384">
        <v>12.16</v>
      </c>
      <c r="I14" s="384">
        <v>12.16</v>
      </c>
      <c r="J14" s="704">
        <v>410.16</v>
      </c>
    </row>
    <row r="15" spans="1:10" s="591" customFormat="1" ht="15" x14ac:dyDescent="0.2">
      <c r="A15" s="700">
        <v>5</v>
      </c>
      <c r="B15" s="918" t="s">
        <v>635</v>
      </c>
      <c r="C15" s="702">
        <v>199</v>
      </c>
      <c r="D15" s="702">
        <v>199</v>
      </c>
      <c r="E15" s="702">
        <v>398</v>
      </c>
      <c r="F15" s="919" t="s">
        <v>349</v>
      </c>
      <c r="G15" s="383">
        <v>1</v>
      </c>
      <c r="H15" s="384">
        <v>12.16</v>
      </c>
      <c r="I15" s="384">
        <v>12.16</v>
      </c>
      <c r="J15" s="704">
        <v>410.16</v>
      </c>
    </row>
    <row r="16" spans="1:10" s="591" customFormat="1" ht="15" x14ac:dyDescent="0.2">
      <c r="A16" s="700">
        <v>6</v>
      </c>
      <c r="B16" s="918" t="s">
        <v>636</v>
      </c>
      <c r="C16" s="702">
        <v>186.52</v>
      </c>
      <c r="D16" s="702">
        <v>202.26</v>
      </c>
      <c r="E16" s="702">
        <v>388.78</v>
      </c>
      <c r="F16" s="919" t="s">
        <v>349</v>
      </c>
      <c r="G16" s="383">
        <v>3</v>
      </c>
      <c r="H16" s="384">
        <v>12.16</v>
      </c>
      <c r="I16" s="384">
        <v>36.479999999999997</v>
      </c>
      <c r="J16" s="704">
        <v>425.26</v>
      </c>
    </row>
    <row r="17" spans="1:13" s="591" customFormat="1" ht="15" x14ac:dyDescent="0.2">
      <c r="A17" s="700">
        <v>7</v>
      </c>
      <c r="B17" s="918" t="s">
        <v>637</v>
      </c>
      <c r="C17" s="702">
        <v>264.13</v>
      </c>
      <c r="D17" s="702">
        <v>264.13</v>
      </c>
      <c r="E17" s="702">
        <v>528.26</v>
      </c>
      <c r="F17" s="919">
        <v>0</v>
      </c>
      <c r="G17" s="383">
        <v>0</v>
      </c>
      <c r="H17" s="384"/>
      <c r="I17" s="384">
        <v>0</v>
      </c>
      <c r="J17" s="704">
        <v>528.26</v>
      </c>
    </row>
    <row r="18" spans="1:13" s="591" customFormat="1" ht="15" x14ac:dyDescent="0.2">
      <c r="A18" s="700">
        <v>8</v>
      </c>
      <c r="B18" s="918" t="s">
        <v>638</v>
      </c>
      <c r="C18" s="702">
        <v>264.13</v>
      </c>
      <c r="D18" s="702">
        <v>264.13</v>
      </c>
      <c r="E18" s="702">
        <v>528.26</v>
      </c>
      <c r="F18" s="919">
        <v>0</v>
      </c>
      <c r="G18" s="383">
        <v>0</v>
      </c>
      <c r="H18" s="384"/>
      <c r="I18" s="384">
        <v>0</v>
      </c>
      <c r="J18" s="704">
        <v>528.26</v>
      </c>
    </row>
    <row r="19" spans="1:13" s="591" customFormat="1" ht="15" x14ac:dyDescent="0.2">
      <c r="A19" s="700">
        <v>9</v>
      </c>
      <c r="B19" s="918" t="s">
        <v>639</v>
      </c>
      <c r="C19" s="702">
        <v>264.13</v>
      </c>
      <c r="D19" s="702">
        <v>264.13</v>
      </c>
      <c r="E19" s="702">
        <v>528.26</v>
      </c>
      <c r="F19" s="919">
        <v>0</v>
      </c>
      <c r="G19" s="383">
        <v>0</v>
      </c>
      <c r="H19" s="384"/>
      <c r="I19" s="384">
        <v>0</v>
      </c>
      <c r="J19" s="704">
        <v>528.26</v>
      </c>
    </row>
    <row r="20" spans="1:13" s="591" customFormat="1" ht="15" x14ac:dyDescent="0.2">
      <c r="A20" s="700">
        <v>10</v>
      </c>
      <c r="B20" s="921" t="s">
        <v>642</v>
      </c>
      <c r="C20" s="702">
        <v>525</v>
      </c>
      <c r="D20" s="702">
        <v>525</v>
      </c>
      <c r="E20" s="702">
        <v>1050</v>
      </c>
      <c r="F20" s="922" t="s">
        <v>349</v>
      </c>
      <c r="G20" s="383">
        <v>4</v>
      </c>
      <c r="H20" s="384">
        <v>12.16</v>
      </c>
      <c r="I20" s="384">
        <v>48.64</v>
      </c>
      <c r="J20" s="704">
        <v>1098.6400000000001</v>
      </c>
    </row>
    <row r="21" spans="1:13" s="591" customFormat="1" ht="15" x14ac:dyDescent="0.2">
      <c r="A21" s="700">
        <v>11</v>
      </c>
      <c r="B21" s="921" t="s">
        <v>643</v>
      </c>
      <c r="C21" s="702">
        <v>525</v>
      </c>
      <c r="D21" s="702">
        <v>525</v>
      </c>
      <c r="E21" s="702">
        <v>1050</v>
      </c>
      <c r="F21" s="922" t="s">
        <v>349</v>
      </c>
      <c r="G21" s="383">
        <v>4</v>
      </c>
      <c r="H21" s="384">
        <v>12.16</v>
      </c>
      <c r="I21" s="384">
        <v>48.64</v>
      </c>
      <c r="J21" s="704">
        <v>1098.6400000000001</v>
      </c>
    </row>
    <row r="22" spans="1:13" s="591" customFormat="1" ht="15" x14ac:dyDescent="0.2">
      <c r="A22" s="1217">
        <v>12</v>
      </c>
      <c r="B22" s="1277" t="s">
        <v>640</v>
      </c>
      <c r="C22" s="1221">
        <v>264.67</v>
      </c>
      <c r="D22" s="1221">
        <v>264.67</v>
      </c>
      <c r="E22" s="1221">
        <v>529.34</v>
      </c>
      <c r="F22" s="922" t="s">
        <v>349</v>
      </c>
      <c r="G22" s="383">
        <v>4</v>
      </c>
      <c r="H22" s="384">
        <v>12.16</v>
      </c>
      <c r="I22" s="384">
        <v>48.64</v>
      </c>
      <c r="J22" s="1279">
        <v>617.85</v>
      </c>
    </row>
    <row r="23" spans="1:13" s="591" customFormat="1" ht="15" x14ac:dyDescent="0.2">
      <c r="A23" s="1218"/>
      <c r="B23" s="1278"/>
      <c r="C23" s="1222"/>
      <c r="D23" s="1222"/>
      <c r="E23" s="1222"/>
      <c r="F23" s="934" t="s">
        <v>641</v>
      </c>
      <c r="G23" s="383">
        <v>1</v>
      </c>
      <c r="H23" s="384">
        <v>39.869999999999997</v>
      </c>
      <c r="I23" s="384">
        <v>39.869999999999997</v>
      </c>
      <c r="J23" s="1280"/>
    </row>
    <row r="24" spans="1:13" s="591" customFormat="1" ht="15" x14ac:dyDescent="0.2">
      <c r="A24" s="700"/>
      <c r="B24" s="691"/>
      <c r="C24" s="702"/>
      <c r="D24" s="702"/>
      <c r="E24" s="702"/>
      <c r="F24" s="474"/>
      <c r="G24" s="383"/>
      <c r="H24" s="384"/>
      <c r="I24" s="384"/>
      <c r="J24" s="704"/>
    </row>
    <row r="25" spans="1:13" s="591" customFormat="1" ht="15" x14ac:dyDescent="0.2">
      <c r="A25" s="1212" t="s">
        <v>72</v>
      </c>
      <c r="B25" s="1213"/>
      <c r="C25" s="385"/>
      <c r="D25" s="385"/>
      <c r="E25" s="385">
        <v>9093.7800000000007</v>
      </c>
      <c r="F25" s="474"/>
      <c r="G25" s="383"/>
      <c r="H25" s="387"/>
      <c r="I25" s="385">
        <v>489.79</v>
      </c>
      <c r="J25" s="390">
        <v>9583.57</v>
      </c>
      <c r="M25" s="592"/>
    </row>
    <row r="26" spans="1:13" s="591" customFormat="1" ht="15" thickBot="1" x14ac:dyDescent="0.25">
      <c r="A26" s="1203" t="s">
        <v>219</v>
      </c>
      <c r="B26" s="1204"/>
      <c r="C26" s="1205">
        <v>9583.57</v>
      </c>
      <c r="D26" s="1205"/>
      <c r="E26" s="1205"/>
      <c r="F26" s="1205"/>
      <c r="G26" s="1205"/>
      <c r="H26" s="1205"/>
      <c r="I26" s="1205"/>
      <c r="J26" s="1206"/>
    </row>
    <row r="27" spans="1:13" x14ac:dyDescent="0.2">
      <c r="A27" s="591"/>
      <c r="B27" s="591"/>
      <c r="C27" s="591"/>
      <c r="D27" s="591"/>
      <c r="E27" s="591"/>
      <c r="F27" s="591"/>
      <c r="G27" s="591"/>
      <c r="H27" s="591"/>
      <c r="I27" s="591"/>
      <c r="J27" s="591"/>
    </row>
    <row r="28" spans="1:13" ht="16.5" hidden="1" thickBot="1" x14ac:dyDescent="0.25">
      <c r="A28" s="1230" t="s">
        <v>535</v>
      </c>
      <c r="B28" s="1231"/>
      <c r="C28" s="1231"/>
      <c r="D28" s="1231"/>
      <c r="E28" s="1231"/>
      <c r="F28" s="1231"/>
      <c r="G28" s="1231"/>
      <c r="H28" s="1231"/>
      <c r="I28" s="1231"/>
      <c r="J28" s="1232"/>
    </row>
    <row r="29" spans="1:13" ht="14.25" hidden="1" customHeight="1" x14ac:dyDescent="0.2">
      <c r="A29" s="1233" t="s">
        <v>61</v>
      </c>
      <c r="B29" s="1235" t="s">
        <v>62</v>
      </c>
      <c r="C29" s="1235" t="s">
        <v>380</v>
      </c>
      <c r="D29" s="1235"/>
      <c r="E29" s="1235" t="s">
        <v>390</v>
      </c>
      <c r="F29" s="1235" t="s">
        <v>64</v>
      </c>
      <c r="G29" s="1235"/>
      <c r="H29" s="1235"/>
      <c r="I29" s="1235"/>
      <c r="J29" s="1275" t="s">
        <v>536</v>
      </c>
    </row>
    <row r="30" spans="1:13" ht="28.5" hidden="1" x14ac:dyDescent="0.2">
      <c r="A30" s="1234"/>
      <c r="B30" s="1236"/>
      <c r="C30" s="843" t="s">
        <v>71</v>
      </c>
      <c r="D30" s="843" t="s">
        <v>100</v>
      </c>
      <c r="E30" s="1236"/>
      <c r="F30" s="843" t="s">
        <v>66</v>
      </c>
      <c r="G30" s="843" t="s">
        <v>67</v>
      </c>
      <c r="H30" s="843" t="s">
        <v>391</v>
      </c>
      <c r="I30" s="843" t="s">
        <v>392</v>
      </c>
      <c r="J30" s="1276"/>
    </row>
    <row r="31" spans="1:13" ht="14.25" hidden="1" x14ac:dyDescent="0.2">
      <c r="A31" s="1212" t="s">
        <v>385</v>
      </c>
      <c r="B31" s="1213"/>
      <c r="C31" s="1213"/>
      <c r="D31" s="1213"/>
      <c r="E31" s="1213"/>
      <c r="F31" s="1213"/>
      <c r="G31" s="1213"/>
      <c r="H31" s="1213"/>
      <c r="I31" s="1213"/>
      <c r="J31" s="1274"/>
    </row>
    <row r="32" spans="1:13" ht="15" hidden="1" x14ac:dyDescent="0.2">
      <c r="A32" s="700">
        <v>1</v>
      </c>
      <c r="B32" s="841" t="s">
        <v>631</v>
      </c>
      <c r="C32" s="702"/>
      <c r="D32" s="702"/>
      <c r="E32" s="702">
        <v>0</v>
      </c>
      <c r="F32" s="842" t="s">
        <v>349</v>
      </c>
      <c r="G32" s="383">
        <v>6</v>
      </c>
      <c r="H32" s="384"/>
      <c r="I32" s="384">
        <v>0</v>
      </c>
      <c r="J32" s="704">
        <v>0</v>
      </c>
    </row>
    <row r="33" spans="1:10" ht="15" hidden="1" x14ac:dyDescent="0.2">
      <c r="A33" s="700">
        <v>2</v>
      </c>
      <c r="B33" s="841" t="s">
        <v>632</v>
      </c>
      <c r="C33" s="702"/>
      <c r="D33" s="702"/>
      <c r="E33" s="702">
        <v>0</v>
      </c>
      <c r="F33" s="842" t="s">
        <v>349</v>
      </c>
      <c r="G33" s="383">
        <v>6</v>
      </c>
      <c r="H33" s="384"/>
      <c r="I33" s="384">
        <v>0</v>
      </c>
      <c r="J33" s="704">
        <v>0</v>
      </c>
    </row>
    <row r="34" spans="1:10" ht="15" hidden="1" x14ac:dyDescent="0.2">
      <c r="A34" s="700">
        <v>3</v>
      </c>
      <c r="B34" s="841" t="s">
        <v>633</v>
      </c>
      <c r="C34" s="702"/>
      <c r="D34" s="702"/>
      <c r="E34" s="702">
        <v>0</v>
      </c>
      <c r="F34" s="842" t="s">
        <v>349</v>
      </c>
      <c r="G34" s="383">
        <v>8</v>
      </c>
      <c r="H34" s="384"/>
      <c r="I34" s="384">
        <v>0</v>
      </c>
      <c r="J34" s="704">
        <v>0</v>
      </c>
    </row>
    <row r="35" spans="1:10" ht="15" hidden="1" x14ac:dyDescent="0.2">
      <c r="A35" s="700">
        <v>0</v>
      </c>
      <c r="B35" s="841">
        <v>0</v>
      </c>
      <c r="C35" s="702"/>
      <c r="D35" s="702"/>
      <c r="E35" s="702">
        <v>0</v>
      </c>
      <c r="F35" s="842">
        <v>0</v>
      </c>
      <c r="G35" s="383">
        <v>0</v>
      </c>
      <c r="H35" s="384"/>
      <c r="I35" s="384">
        <v>0</v>
      </c>
      <c r="J35" s="704">
        <v>0</v>
      </c>
    </row>
    <row r="36" spans="1:10" ht="15" hidden="1" x14ac:dyDescent="0.2">
      <c r="A36" s="1212" t="s">
        <v>72</v>
      </c>
      <c r="B36" s="1213"/>
      <c r="C36" s="385">
        <v>0</v>
      </c>
      <c r="D36" s="385"/>
      <c r="E36" s="385">
        <v>0</v>
      </c>
      <c r="F36" s="842"/>
      <c r="G36" s="383"/>
      <c r="H36" s="387"/>
      <c r="I36" s="385">
        <v>0</v>
      </c>
      <c r="J36" s="390">
        <v>0</v>
      </c>
    </row>
    <row r="37" spans="1:10" ht="15" hidden="1" thickBot="1" x14ac:dyDescent="0.25">
      <c r="A37" s="1203" t="s">
        <v>219</v>
      </c>
      <c r="B37" s="1204"/>
      <c r="C37" s="1205">
        <v>0</v>
      </c>
      <c r="D37" s="1205"/>
      <c r="E37" s="1205"/>
      <c r="F37" s="1205"/>
      <c r="G37" s="1205"/>
      <c r="H37" s="1205"/>
      <c r="I37" s="1205"/>
      <c r="J37" s="1206"/>
    </row>
    <row r="38" spans="1:10" x14ac:dyDescent="0.2">
      <c r="A38" s="591"/>
      <c r="B38" s="591"/>
      <c r="C38" s="591"/>
      <c r="D38" s="591"/>
      <c r="E38" s="591"/>
      <c r="F38" s="591"/>
      <c r="G38" s="591"/>
      <c r="H38" s="591"/>
      <c r="I38" s="591"/>
      <c r="J38" s="591"/>
    </row>
    <row r="39" spans="1:10" x14ac:dyDescent="0.2">
      <c r="A39" s="591"/>
      <c r="B39" s="591"/>
      <c r="C39" s="591"/>
      <c r="D39" s="591"/>
      <c r="E39" s="591"/>
      <c r="F39" s="591"/>
      <c r="G39" s="591"/>
      <c r="H39" s="591"/>
      <c r="I39" s="591"/>
      <c r="J39" s="591"/>
    </row>
    <row r="40" spans="1:10" x14ac:dyDescent="0.2">
      <c r="A40" s="591"/>
      <c r="B40" s="591"/>
      <c r="C40" s="591"/>
      <c r="D40" s="591"/>
      <c r="E40" s="591"/>
      <c r="F40" s="592"/>
      <c r="G40" s="591"/>
      <c r="H40" s="591"/>
      <c r="I40" s="591"/>
      <c r="J40" s="591"/>
    </row>
    <row r="41" spans="1:10" x14ac:dyDescent="0.2">
      <c r="A41" s="591"/>
      <c r="B41" s="591"/>
      <c r="C41" s="591"/>
      <c r="D41" s="591"/>
      <c r="E41" s="591"/>
      <c r="F41" s="591"/>
      <c r="G41" s="591"/>
      <c r="H41" s="591"/>
      <c r="I41" s="591"/>
      <c r="J41" s="591"/>
    </row>
    <row r="42" spans="1:10" x14ac:dyDescent="0.2">
      <c r="A42" s="591"/>
      <c r="B42" s="591"/>
      <c r="C42" s="591"/>
      <c r="D42" s="591"/>
      <c r="E42" s="591"/>
      <c r="F42" s="591"/>
      <c r="G42" s="591"/>
      <c r="H42" s="591"/>
      <c r="I42" s="591"/>
      <c r="J42" s="591"/>
    </row>
    <row r="43" spans="1:10" x14ac:dyDescent="0.2">
      <c r="A43" s="591"/>
      <c r="B43" s="591"/>
      <c r="C43" s="591"/>
      <c r="D43" s="591"/>
      <c r="E43" s="591"/>
      <c r="F43" s="591"/>
      <c r="G43" s="591"/>
      <c r="H43" s="591"/>
      <c r="I43" s="591"/>
      <c r="J43" s="591"/>
    </row>
    <row r="44" spans="1:10" ht="24.75" customHeight="1" x14ac:dyDescent="0.2"/>
    <row r="45" spans="1:10" ht="15.75" x14ac:dyDescent="0.2">
      <c r="B45" s="593" t="s">
        <v>177</v>
      </c>
    </row>
    <row r="46" spans="1:10" x14ac:dyDescent="0.2">
      <c r="B46" s="594" t="s">
        <v>537</v>
      </c>
    </row>
  </sheetData>
  <mergeCells count="38">
    <mergeCell ref="A10:J10"/>
    <mergeCell ref="A22:A23"/>
    <mergeCell ref="B22:B23"/>
    <mergeCell ref="C22:C23"/>
    <mergeCell ref="D22:D23"/>
    <mergeCell ref="E22:E23"/>
    <mergeCell ref="J22:J23"/>
    <mergeCell ref="A7:J7"/>
    <mergeCell ref="A8:A9"/>
    <mergeCell ref="B8:B9"/>
    <mergeCell ref="C8:D8"/>
    <mergeCell ref="E8:E9"/>
    <mergeCell ref="F8:I8"/>
    <mergeCell ref="J8:J9"/>
    <mergeCell ref="C1:J1"/>
    <mergeCell ref="C2:J2"/>
    <mergeCell ref="A1:B2"/>
    <mergeCell ref="B3:J3"/>
    <mergeCell ref="B4:H4"/>
    <mergeCell ref="I4:J6"/>
    <mergeCell ref="B5:D5"/>
    <mergeCell ref="F5:H5"/>
    <mergeCell ref="B6:D6"/>
    <mergeCell ref="F6:G6"/>
    <mergeCell ref="A37:B37"/>
    <mergeCell ref="C37:J37"/>
    <mergeCell ref="A28:J28"/>
    <mergeCell ref="A29:A30"/>
    <mergeCell ref="B29:B30"/>
    <mergeCell ref="C29:D29"/>
    <mergeCell ref="E29:E30"/>
    <mergeCell ref="F29:I29"/>
    <mergeCell ref="J29:J30"/>
    <mergeCell ref="A25:B25"/>
    <mergeCell ref="A26:B26"/>
    <mergeCell ref="C26:J26"/>
    <mergeCell ref="A31:J31"/>
    <mergeCell ref="A36:B36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80" fitToHeight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9"/>
  <sheetViews>
    <sheetView view="pageBreakPreview" topLeftCell="A7" zoomScale="115" zoomScaleSheetLayoutView="115" workbookViewId="0">
      <selection activeCell="I23" sqref="I23"/>
    </sheetView>
  </sheetViews>
  <sheetFormatPr defaultRowHeight="12.75" x14ac:dyDescent="0.2"/>
  <cols>
    <col min="1" max="1" width="12.85546875" style="594" customWidth="1"/>
    <col min="2" max="2" width="44" style="594" customWidth="1"/>
    <col min="3" max="3" width="10.85546875" style="594" customWidth="1"/>
    <col min="4" max="5" width="10" style="594" customWidth="1"/>
    <col min="6" max="6" width="9.7109375" style="594" customWidth="1"/>
    <col min="7" max="7" width="10.42578125" style="594" customWidth="1"/>
    <col min="8" max="8" width="10.7109375" style="594" customWidth="1"/>
    <col min="9" max="9" width="10" style="594" customWidth="1"/>
    <col min="10" max="10" width="10.140625" style="594" customWidth="1"/>
    <col min="11" max="11" width="9.7109375" style="594" customWidth="1"/>
    <col min="12" max="16384" width="9.140625" style="594"/>
  </cols>
  <sheetData>
    <row r="1" spans="1:11" ht="48" customHeight="1" x14ac:dyDescent="0.2">
      <c r="A1" s="1281" t="s">
        <v>556</v>
      </c>
      <c r="B1" s="1282"/>
      <c r="C1" s="982" t="s">
        <v>54</v>
      </c>
      <c r="D1" s="982"/>
      <c r="E1" s="982"/>
      <c r="F1" s="982"/>
      <c r="G1" s="982"/>
      <c r="H1" s="982"/>
      <c r="I1" s="1192"/>
      <c r="J1" s="1192"/>
      <c r="K1" s="983"/>
    </row>
    <row r="2" spans="1:11" ht="48" customHeight="1" x14ac:dyDescent="0.2">
      <c r="A2" s="1283"/>
      <c r="B2" s="1284"/>
      <c r="C2" s="985" t="s">
        <v>630</v>
      </c>
      <c r="D2" s="985"/>
      <c r="E2" s="985"/>
      <c r="F2" s="985"/>
      <c r="G2" s="985"/>
      <c r="H2" s="985"/>
      <c r="I2" s="1193"/>
      <c r="J2" s="1193"/>
      <c r="K2" s="986"/>
    </row>
    <row r="3" spans="1:11" ht="15" x14ac:dyDescent="0.2">
      <c r="A3" s="399" t="s">
        <v>55</v>
      </c>
      <c r="B3" s="987" t="s">
        <v>663</v>
      </c>
      <c r="C3" s="987"/>
      <c r="D3" s="987"/>
      <c r="E3" s="987"/>
      <c r="F3" s="987"/>
      <c r="G3" s="987"/>
      <c r="H3" s="987"/>
      <c r="I3" s="1061"/>
      <c r="J3" s="1061"/>
      <c r="K3" s="988"/>
    </row>
    <row r="4" spans="1:11" ht="15" x14ac:dyDescent="0.2">
      <c r="A4" s="399" t="s">
        <v>56</v>
      </c>
      <c r="B4" s="987" t="s">
        <v>629</v>
      </c>
      <c r="C4" s="987"/>
      <c r="D4" s="987"/>
      <c r="E4" s="987"/>
      <c r="F4" s="987"/>
      <c r="G4" s="987"/>
      <c r="H4" s="991" t="s">
        <v>703</v>
      </c>
      <c r="I4" s="1290"/>
      <c r="J4" s="1290"/>
      <c r="K4" s="992"/>
    </row>
    <row r="5" spans="1:11" ht="15" x14ac:dyDescent="0.2">
      <c r="A5" s="399" t="s">
        <v>57</v>
      </c>
      <c r="B5" s="987" t="s">
        <v>630</v>
      </c>
      <c r="C5" s="987"/>
      <c r="D5" s="987"/>
      <c r="E5" s="401" t="s">
        <v>374</v>
      </c>
      <c r="F5" s="1292" t="s">
        <v>701</v>
      </c>
      <c r="G5" s="989"/>
      <c r="H5" s="991"/>
      <c r="I5" s="1290"/>
      <c r="J5" s="1290"/>
      <c r="K5" s="992"/>
    </row>
    <row r="6" spans="1:11" ht="15.75" thickBot="1" x14ac:dyDescent="0.25">
      <c r="A6" s="402" t="s">
        <v>58</v>
      </c>
      <c r="B6" s="990">
        <v>37813.870000000003</v>
      </c>
      <c r="C6" s="990"/>
      <c r="D6" s="990"/>
      <c r="E6" s="403" t="s">
        <v>59</v>
      </c>
      <c r="F6" s="935">
        <v>0.20699999999999999</v>
      </c>
      <c r="G6" s="403" t="s">
        <v>60</v>
      </c>
      <c r="H6" s="993"/>
      <c r="I6" s="1291"/>
      <c r="J6" s="1291"/>
      <c r="K6" s="994"/>
    </row>
    <row r="7" spans="1:11" s="924" customFormat="1" ht="19.5" customHeight="1" thickBot="1" x14ac:dyDescent="0.25">
      <c r="A7" s="1286" t="s">
        <v>347</v>
      </c>
      <c r="B7" s="1287"/>
      <c r="C7" s="1287"/>
      <c r="D7" s="1287"/>
      <c r="E7" s="1287"/>
      <c r="F7" s="1287"/>
      <c r="G7" s="1287"/>
      <c r="H7" s="1287"/>
      <c r="I7" s="1288"/>
      <c r="J7" s="1288"/>
      <c r="K7" s="1289"/>
    </row>
    <row r="8" spans="1:11" s="925" customFormat="1" ht="14.25" customHeight="1" x14ac:dyDescent="0.2">
      <c r="A8" s="1233" t="s">
        <v>61</v>
      </c>
      <c r="B8" s="1235" t="s">
        <v>62</v>
      </c>
      <c r="C8" s="1235" t="s">
        <v>380</v>
      </c>
      <c r="D8" s="1235" t="s">
        <v>407</v>
      </c>
      <c r="E8" s="1235" t="s">
        <v>63</v>
      </c>
      <c r="F8" s="1235" t="s">
        <v>379</v>
      </c>
      <c r="G8" s="1235"/>
      <c r="H8" s="1235"/>
      <c r="I8" s="1235" t="s">
        <v>384</v>
      </c>
      <c r="J8" s="1235" t="s">
        <v>404</v>
      </c>
      <c r="K8" s="1275" t="s">
        <v>329</v>
      </c>
    </row>
    <row r="9" spans="1:11" s="925" customFormat="1" ht="33" customHeight="1" x14ac:dyDescent="0.2">
      <c r="A9" s="1234"/>
      <c r="B9" s="1236"/>
      <c r="C9" s="1236"/>
      <c r="D9" s="1236"/>
      <c r="E9" s="1236"/>
      <c r="F9" s="940" t="s">
        <v>667</v>
      </c>
      <c r="G9" s="940" t="s">
        <v>668</v>
      </c>
      <c r="H9" s="920" t="s">
        <v>669</v>
      </c>
      <c r="I9" s="1236"/>
      <c r="J9" s="1236"/>
      <c r="K9" s="1276"/>
    </row>
    <row r="10" spans="1:11" s="924" customFormat="1" ht="15" x14ac:dyDescent="0.2">
      <c r="A10" s="700">
        <v>1</v>
      </c>
      <c r="B10" s="695" t="s">
        <v>631</v>
      </c>
      <c r="C10" s="702">
        <v>1104.3</v>
      </c>
      <c r="D10" s="702">
        <v>1.5</v>
      </c>
      <c r="E10" s="702">
        <v>1656.45</v>
      </c>
      <c r="F10" s="383">
        <v>73</v>
      </c>
      <c r="G10" s="384">
        <v>1.5</v>
      </c>
      <c r="H10" s="384">
        <v>109.5</v>
      </c>
      <c r="I10" s="712">
        <v>1765.95</v>
      </c>
      <c r="J10" s="384">
        <v>7.0000000000000007E-2</v>
      </c>
      <c r="K10" s="928">
        <v>123.61</v>
      </c>
    </row>
    <row r="11" spans="1:11" s="924" customFormat="1" ht="15" x14ac:dyDescent="0.2">
      <c r="A11" s="700">
        <v>2</v>
      </c>
      <c r="B11" s="695" t="s">
        <v>632</v>
      </c>
      <c r="C11" s="702">
        <v>1104.3</v>
      </c>
      <c r="D11" s="702">
        <v>1.5</v>
      </c>
      <c r="E11" s="702">
        <v>1656.45</v>
      </c>
      <c r="F11" s="383">
        <v>73</v>
      </c>
      <c r="G11" s="384">
        <v>1.5</v>
      </c>
      <c r="H11" s="384">
        <v>109.5</v>
      </c>
      <c r="I11" s="712">
        <v>1765.95</v>
      </c>
      <c r="J11" s="702">
        <v>7.0000000000000007E-2</v>
      </c>
      <c r="K11" s="928">
        <v>123.61</v>
      </c>
    </row>
    <row r="12" spans="1:11" s="924" customFormat="1" ht="15" x14ac:dyDescent="0.2">
      <c r="A12" s="700">
        <v>3</v>
      </c>
      <c r="B12" s="695" t="s">
        <v>633</v>
      </c>
      <c r="C12" s="702">
        <v>1486.28</v>
      </c>
      <c r="D12" s="702">
        <v>1.5</v>
      </c>
      <c r="E12" s="702">
        <v>2229.42</v>
      </c>
      <c r="F12" s="383">
        <v>97.3</v>
      </c>
      <c r="G12" s="384">
        <v>1.5</v>
      </c>
      <c r="H12" s="384">
        <v>145.94999999999999</v>
      </c>
      <c r="I12" s="712">
        <v>2375.37</v>
      </c>
      <c r="J12" s="702">
        <v>7.0000000000000007E-2</v>
      </c>
      <c r="K12" s="928">
        <v>166.27</v>
      </c>
    </row>
    <row r="13" spans="1:11" s="924" customFormat="1" ht="15" x14ac:dyDescent="0.2">
      <c r="A13" s="700">
        <v>4</v>
      </c>
      <c r="B13" s="695" t="s">
        <v>634</v>
      </c>
      <c r="C13" s="702">
        <v>398</v>
      </c>
      <c r="D13" s="702">
        <v>1.5</v>
      </c>
      <c r="E13" s="702">
        <v>597</v>
      </c>
      <c r="F13" s="383">
        <v>12.2</v>
      </c>
      <c r="G13" s="384">
        <v>1.5</v>
      </c>
      <c r="H13" s="384">
        <v>18.3</v>
      </c>
      <c r="I13" s="712">
        <v>615.29999999999995</v>
      </c>
      <c r="J13" s="702">
        <v>7.0000000000000007E-2</v>
      </c>
      <c r="K13" s="928">
        <v>43.07</v>
      </c>
    </row>
    <row r="14" spans="1:11" s="924" customFormat="1" ht="15" x14ac:dyDescent="0.2">
      <c r="A14" s="700">
        <v>5</v>
      </c>
      <c r="B14" s="695" t="s">
        <v>635</v>
      </c>
      <c r="C14" s="702">
        <v>398</v>
      </c>
      <c r="D14" s="702">
        <v>1.5</v>
      </c>
      <c r="E14" s="702">
        <v>597</v>
      </c>
      <c r="F14" s="383">
        <v>12.2</v>
      </c>
      <c r="G14" s="384">
        <v>1.5</v>
      </c>
      <c r="H14" s="384">
        <v>18.3</v>
      </c>
      <c r="I14" s="712">
        <v>615.29999999999995</v>
      </c>
      <c r="J14" s="702">
        <v>7.0000000000000007E-2</v>
      </c>
      <c r="K14" s="928">
        <v>43.07</v>
      </c>
    </row>
    <row r="15" spans="1:11" s="924" customFormat="1" ht="15" x14ac:dyDescent="0.2">
      <c r="A15" s="700">
        <v>6</v>
      </c>
      <c r="B15" s="695" t="s">
        <v>636</v>
      </c>
      <c r="C15" s="702">
        <v>388.78</v>
      </c>
      <c r="D15" s="702">
        <v>1.5</v>
      </c>
      <c r="E15" s="702">
        <v>583.16999999999996</v>
      </c>
      <c r="F15" s="383">
        <v>36.5</v>
      </c>
      <c r="G15" s="384">
        <v>1.5</v>
      </c>
      <c r="H15" s="384">
        <v>54.75</v>
      </c>
      <c r="I15" s="712">
        <v>637.91999999999996</v>
      </c>
      <c r="J15" s="702">
        <v>7.0000000000000007E-2</v>
      </c>
      <c r="K15" s="928">
        <v>44.65</v>
      </c>
    </row>
    <row r="16" spans="1:11" s="924" customFormat="1" ht="15" x14ac:dyDescent="0.2">
      <c r="A16" s="700">
        <v>7</v>
      </c>
      <c r="B16" s="695" t="s">
        <v>637</v>
      </c>
      <c r="C16" s="702">
        <v>528.26</v>
      </c>
      <c r="D16" s="702">
        <v>1.5</v>
      </c>
      <c r="E16" s="702">
        <v>792.39</v>
      </c>
      <c r="F16" s="383">
        <v>0</v>
      </c>
      <c r="G16" s="384">
        <v>1.5</v>
      </c>
      <c r="H16" s="384">
        <v>0</v>
      </c>
      <c r="I16" s="712">
        <v>792.39</v>
      </c>
      <c r="J16" s="702">
        <v>7.0000000000000007E-2</v>
      </c>
      <c r="K16" s="928">
        <v>55.46</v>
      </c>
    </row>
    <row r="17" spans="1:14" s="924" customFormat="1" ht="15" x14ac:dyDescent="0.2">
      <c r="A17" s="700">
        <v>8</v>
      </c>
      <c r="B17" s="695" t="s">
        <v>638</v>
      </c>
      <c r="C17" s="702">
        <v>528.26</v>
      </c>
      <c r="D17" s="702">
        <v>1.5</v>
      </c>
      <c r="E17" s="702">
        <v>792.39</v>
      </c>
      <c r="F17" s="383">
        <v>0</v>
      </c>
      <c r="G17" s="384">
        <v>1.5</v>
      </c>
      <c r="H17" s="384">
        <v>0</v>
      </c>
      <c r="I17" s="712">
        <v>792.39</v>
      </c>
      <c r="J17" s="702">
        <v>7.0000000000000007E-2</v>
      </c>
      <c r="K17" s="928">
        <v>55.46</v>
      </c>
    </row>
    <row r="18" spans="1:14" s="924" customFormat="1" ht="15" x14ac:dyDescent="0.2">
      <c r="A18" s="700">
        <v>9</v>
      </c>
      <c r="B18" s="695" t="s">
        <v>639</v>
      </c>
      <c r="C18" s="702">
        <v>528.26</v>
      </c>
      <c r="D18" s="702">
        <v>1.5</v>
      </c>
      <c r="E18" s="702">
        <v>792.39</v>
      </c>
      <c r="F18" s="383">
        <v>0</v>
      </c>
      <c r="G18" s="384">
        <v>1.5</v>
      </c>
      <c r="H18" s="384">
        <v>0</v>
      </c>
      <c r="I18" s="712">
        <v>792.39</v>
      </c>
      <c r="J18" s="702">
        <v>7.0000000000000007E-2</v>
      </c>
      <c r="K18" s="928">
        <v>55.46</v>
      </c>
    </row>
    <row r="19" spans="1:14" s="924" customFormat="1" ht="15" x14ac:dyDescent="0.2">
      <c r="A19" s="700">
        <v>10</v>
      </c>
      <c r="B19" s="695" t="s">
        <v>642</v>
      </c>
      <c r="C19" s="702">
        <v>1050</v>
      </c>
      <c r="D19" s="702">
        <v>1.5</v>
      </c>
      <c r="E19" s="702">
        <v>1575</v>
      </c>
      <c r="F19" s="383">
        <v>48.6</v>
      </c>
      <c r="G19" s="384">
        <v>1.5</v>
      </c>
      <c r="H19" s="384">
        <v>72.900000000000006</v>
      </c>
      <c r="I19" s="712">
        <v>1647.9</v>
      </c>
      <c r="J19" s="702">
        <v>7.0000000000000007E-2</v>
      </c>
      <c r="K19" s="928">
        <v>115.35</v>
      </c>
    </row>
    <row r="20" spans="1:14" s="924" customFormat="1" ht="15" x14ac:dyDescent="0.2">
      <c r="A20" s="700">
        <v>11</v>
      </c>
      <c r="B20" s="695" t="s">
        <v>643</v>
      </c>
      <c r="C20" s="702">
        <v>1050</v>
      </c>
      <c r="D20" s="702">
        <v>1.5</v>
      </c>
      <c r="E20" s="702">
        <v>1575</v>
      </c>
      <c r="F20" s="383">
        <v>48.6</v>
      </c>
      <c r="G20" s="384">
        <v>1.5</v>
      </c>
      <c r="H20" s="384">
        <v>72.900000000000006</v>
      </c>
      <c r="I20" s="712">
        <v>1647.9</v>
      </c>
      <c r="J20" s="702">
        <v>7.0000000000000007E-2</v>
      </c>
      <c r="K20" s="928">
        <v>115.35</v>
      </c>
    </row>
    <row r="21" spans="1:14" s="924" customFormat="1" ht="15" x14ac:dyDescent="0.2">
      <c r="A21" s="700">
        <v>12</v>
      </c>
      <c r="B21" s="695" t="s">
        <v>640</v>
      </c>
      <c r="C21" s="702">
        <v>529.34</v>
      </c>
      <c r="D21" s="702">
        <v>1.5</v>
      </c>
      <c r="E21" s="702">
        <v>794.01</v>
      </c>
      <c r="F21" s="383">
        <v>48.6</v>
      </c>
      <c r="G21" s="384">
        <v>1.5</v>
      </c>
      <c r="H21" s="384">
        <v>72.900000000000006</v>
      </c>
      <c r="I21" s="712">
        <v>866.91</v>
      </c>
      <c r="J21" s="702">
        <v>7.0000000000000007E-2</v>
      </c>
      <c r="K21" s="928">
        <v>60.68</v>
      </c>
    </row>
    <row r="22" spans="1:14" s="924" customFormat="1" ht="15" x14ac:dyDescent="0.2">
      <c r="A22" s="700"/>
      <c r="B22" s="695"/>
      <c r="C22" s="702"/>
      <c r="D22" s="702"/>
      <c r="E22" s="702"/>
      <c r="F22" s="383"/>
      <c r="G22" s="384"/>
      <c r="H22" s="384"/>
      <c r="I22" s="712"/>
      <c r="J22" s="384"/>
      <c r="K22" s="926"/>
    </row>
    <row r="23" spans="1:14" s="924" customFormat="1" ht="15" x14ac:dyDescent="0.2">
      <c r="A23" s="1214" t="s">
        <v>406</v>
      </c>
      <c r="B23" s="1285"/>
      <c r="C23" s="385">
        <f>SUM(C10:C22)</f>
        <v>9093.7800000000007</v>
      </c>
      <c r="D23" s="385"/>
      <c r="E23" s="385">
        <f>SUM(E10:E22)</f>
        <v>13640.67</v>
      </c>
      <c r="F23" s="383"/>
      <c r="G23" s="387"/>
      <c r="H23" s="385">
        <f>SUM(H10:H22)</f>
        <v>675</v>
      </c>
      <c r="I23" s="385">
        <f>SUM(I10:I22)</f>
        <v>14315.67</v>
      </c>
      <c r="J23" s="385"/>
      <c r="K23" s="385">
        <f>SUM(K10:K22)</f>
        <v>1002.04</v>
      </c>
      <c r="N23" s="927"/>
    </row>
    <row r="24" spans="1:14" s="924" customFormat="1" ht="15" thickBot="1" x14ac:dyDescent="0.25">
      <c r="A24" s="1203" t="s">
        <v>405</v>
      </c>
      <c r="B24" s="1204"/>
      <c r="C24" s="1205">
        <f>K23</f>
        <v>1002.04</v>
      </c>
      <c r="D24" s="1205"/>
      <c r="E24" s="1205"/>
      <c r="F24" s="1205"/>
      <c r="G24" s="1205"/>
      <c r="H24" s="1205"/>
      <c r="I24" s="1205"/>
      <c r="J24" s="1205"/>
      <c r="K24" s="1206"/>
    </row>
    <row r="25" spans="1:14" x14ac:dyDescent="0.2">
      <c r="A25" s="924"/>
      <c r="B25" s="924"/>
      <c r="C25" s="924"/>
      <c r="D25" s="924"/>
      <c r="E25" s="924"/>
      <c r="F25" s="924"/>
      <c r="G25" s="924"/>
      <c r="H25" s="924"/>
      <c r="I25" s="924"/>
      <c r="J25" s="924"/>
      <c r="K25" s="924"/>
    </row>
    <row r="26" spans="1:14" x14ac:dyDescent="0.2">
      <c r="A26" s="924"/>
      <c r="B26" s="924"/>
      <c r="C26" s="924"/>
      <c r="D26" s="924"/>
      <c r="E26" s="924"/>
      <c r="F26" s="924"/>
      <c r="G26" s="924"/>
      <c r="H26" s="924"/>
      <c r="I26" s="924"/>
      <c r="J26" s="924"/>
      <c r="K26" s="924"/>
    </row>
    <row r="27" spans="1:14" ht="35.25" customHeight="1" x14ac:dyDescent="0.2"/>
    <row r="28" spans="1:14" ht="15.75" x14ac:dyDescent="0.2">
      <c r="B28" s="593" t="str">
        <f>Terrap.!B28</f>
        <v>ROBSON DARCIO SOUSA</v>
      </c>
    </row>
    <row r="29" spans="1:14" x14ac:dyDescent="0.2">
      <c r="B29" s="594" t="str">
        <f>Terrap.!B29</f>
        <v>ENGº CIVIL CREA: 120.263.916-0</v>
      </c>
    </row>
  </sheetData>
  <mergeCells count="22">
    <mergeCell ref="B3:K3"/>
    <mergeCell ref="B4:G4"/>
    <mergeCell ref="H4:K6"/>
    <mergeCell ref="B5:D5"/>
    <mergeCell ref="F5:G5"/>
    <mergeCell ref="B6:D6"/>
    <mergeCell ref="A1:B2"/>
    <mergeCell ref="C1:K1"/>
    <mergeCell ref="C2:K2"/>
    <mergeCell ref="A23:B23"/>
    <mergeCell ref="A24:B24"/>
    <mergeCell ref="C24:K24"/>
    <mergeCell ref="A7:K7"/>
    <mergeCell ref="A8:A9"/>
    <mergeCell ref="B8:B9"/>
    <mergeCell ref="C8:C9"/>
    <mergeCell ref="D8:D9"/>
    <mergeCell ref="E8:E9"/>
    <mergeCell ref="F8:H8"/>
    <mergeCell ref="K8:K9"/>
    <mergeCell ref="I8:I9"/>
    <mergeCell ref="J8:J9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75" fitToHeight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1"/>
  <sheetViews>
    <sheetView view="pageBreakPreview" topLeftCell="A13" zoomScale="115" zoomScaleSheetLayoutView="115" workbookViewId="0">
      <selection activeCell="J20" sqref="J20"/>
    </sheetView>
  </sheetViews>
  <sheetFormatPr defaultRowHeight="12.75" x14ac:dyDescent="0.2"/>
  <cols>
    <col min="1" max="1" width="11.7109375" style="109" customWidth="1"/>
    <col min="2" max="2" width="10.42578125" style="109" customWidth="1"/>
    <col min="3" max="3" width="42" style="109" customWidth="1"/>
    <col min="4" max="4" width="11.140625" style="109" hidden="1" customWidth="1"/>
    <col min="5" max="5" width="8.140625" style="109" hidden="1" customWidth="1"/>
    <col min="6" max="6" width="10.140625" style="109" hidden="1" customWidth="1"/>
    <col min="7" max="7" width="11.7109375" style="109" customWidth="1"/>
    <col min="8" max="8" width="12.140625" style="109" customWidth="1"/>
    <col min="9" max="9" width="10.5703125" style="109" customWidth="1"/>
    <col min="10" max="10" width="10.42578125" style="109" customWidth="1"/>
    <col min="11" max="11" width="8" style="109" customWidth="1"/>
    <col min="12" max="12" width="9.28515625" style="109" customWidth="1"/>
    <col min="13" max="16384" width="9.140625" style="109"/>
  </cols>
  <sheetData>
    <row r="1" spans="1:12" ht="48" customHeight="1" x14ac:dyDescent="0.2">
      <c r="A1" s="1301" t="s">
        <v>556</v>
      </c>
      <c r="B1" s="1302"/>
      <c r="C1" s="1302"/>
      <c r="D1" s="982" t="s">
        <v>54</v>
      </c>
      <c r="E1" s="982"/>
      <c r="F1" s="982"/>
      <c r="G1" s="982"/>
      <c r="H1" s="982"/>
      <c r="I1" s="982"/>
      <c r="J1" s="982"/>
      <c r="K1" s="982"/>
      <c r="L1" s="983"/>
    </row>
    <row r="2" spans="1:12" ht="48" customHeight="1" x14ac:dyDescent="0.2">
      <c r="A2" s="1303"/>
      <c r="B2" s="1304"/>
      <c r="C2" s="1304"/>
      <c r="D2" s="985" t="s">
        <v>630</v>
      </c>
      <c r="E2" s="985"/>
      <c r="F2" s="985"/>
      <c r="G2" s="985"/>
      <c r="H2" s="985"/>
      <c r="I2" s="985"/>
      <c r="J2" s="985"/>
      <c r="K2" s="985"/>
      <c r="L2" s="986"/>
    </row>
    <row r="3" spans="1:12" ht="15" customHeight="1" x14ac:dyDescent="0.2">
      <c r="A3" s="399" t="s">
        <v>55</v>
      </c>
      <c r="B3" s="410" t="s">
        <v>663</v>
      </c>
      <c r="C3" s="410"/>
      <c r="D3" s="410"/>
      <c r="E3" s="410"/>
      <c r="F3" s="410"/>
      <c r="G3" s="410"/>
      <c r="H3" s="401" t="s">
        <v>60</v>
      </c>
      <c r="I3" s="991" t="s">
        <v>703</v>
      </c>
      <c r="J3" s="991"/>
      <c r="K3" s="991"/>
      <c r="L3" s="992"/>
    </row>
    <row r="4" spans="1:12" ht="15" customHeight="1" x14ac:dyDescent="0.2">
      <c r="A4" s="399" t="s">
        <v>56</v>
      </c>
      <c r="B4" s="410" t="s">
        <v>629</v>
      </c>
      <c r="C4" s="410"/>
      <c r="D4" s="410"/>
      <c r="E4" s="410"/>
      <c r="F4" s="410"/>
      <c r="G4" s="1144" t="s">
        <v>374</v>
      </c>
      <c r="H4" s="1144"/>
      <c r="I4" s="991"/>
      <c r="J4" s="991"/>
      <c r="K4" s="991"/>
      <c r="L4" s="992"/>
    </row>
    <row r="5" spans="1:12" ht="15" x14ac:dyDescent="0.2">
      <c r="A5" s="399" t="s">
        <v>57</v>
      </c>
      <c r="B5" s="987" t="s">
        <v>630</v>
      </c>
      <c r="C5" s="987"/>
      <c r="D5" s="987"/>
      <c r="E5" s="620"/>
      <c r="F5" s="620"/>
      <c r="G5" s="1305" t="s">
        <v>701</v>
      </c>
      <c r="H5" s="1305"/>
      <c r="I5" s="991"/>
      <c r="J5" s="991"/>
      <c r="K5" s="991"/>
      <c r="L5" s="992"/>
    </row>
    <row r="6" spans="1:12" ht="15.75" thickBot="1" x14ac:dyDescent="0.25">
      <c r="A6" s="402" t="s">
        <v>58</v>
      </c>
      <c r="B6" s="990">
        <v>37813.870000000003</v>
      </c>
      <c r="C6" s="990"/>
      <c r="D6" s="990"/>
      <c r="E6" s="939"/>
      <c r="F6" s="939"/>
      <c r="G6" s="403" t="s">
        <v>59</v>
      </c>
      <c r="H6" s="404">
        <v>0.20699999999999999</v>
      </c>
      <c r="I6" s="993"/>
      <c r="J6" s="993"/>
      <c r="K6" s="993"/>
      <c r="L6" s="994"/>
    </row>
    <row r="7" spans="1:12" ht="13.5" thickBot="1" x14ac:dyDescent="0.25">
      <c r="A7" s="1297"/>
      <c r="B7" s="1297"/>
      <c r="C7" s="1297"/>
      <c r="D7" s="1297"/>
      <c r="E7" s="1297"/>
      <c r="F7" s="1297"/>
      <c r="G7" s="1297"/>
      <c r="H7" s="1297"/>
      <c r="I7" s="1297"/>
      <c r="J7" s="294"/>
      <c r="K7" s="294"/>
    </row>
    <row r="8" spans="1:12" ht="16.5" thickBot="1" x14ac:dyDescent="0.25">
      <c r="B8" s="1293" t="s">
        <v>364</v>
      </c>
      <c r="C8" s="1294"/>
      <c r="D8" s="1294"/>
      <c r="E8" s="1294"/>
      <c r="F8" s="1294"/>
      <c r="G8" s="1294"/>
      <c r="H8" s="1294"/>
      <c r="I8" s="1294"/>
      <c r="J8" s="1294"/>
      <c r="K8" s="1294"/>
      <c r="L8" s="1295"/>
    </row>
    <row r="9" spans="1:12" ht="14.25" x14ac:dyDescent="0.2">
      <c r="B9" s="1298" t="s">
        <v>61</v>
      </c>
      <c r="C9" s="1299" t="s">
        <v>62</v>
      </c>
      <c r="D9" s="1298" t="s">
        <v>408</v>
      </c>
      <c r="E9" s="1300"/>
      <c r="F9" s="1299"/>
      <c r="G9" s="1298" t="s">
        <v>366</v>
      </c>
      <c r="H9" s="1300"/>
      <c r="I9" s="1300"/>
      <c r="J9" s="1233" t="s">
        <v>416</v>
      </c>
      <c r="K9" s="1235" t="s">
        <v>414</v>
      </c>
      <c r="L9" s="1275" t="s">
        <v>415</v>
      </c>
    </row>
    <row r="10" spans="1:12" ht="42.75" x14ac:dyDescent="0.2">
      <c r="B10" s="1212"/>
      <c r="C10" s="1274"/>
      <c r="D10" s="714" t="s">
        <v>410</v>
      </c>
      <c r="E10" s="475" t="s">
        <v>409</v>
      </c>
      <c r="F10" s="705" t="s">
        <v>411</v>
      </c>
      <c r="G10" s="475" t="s">
        <v>413</v>
      </c>
      <c r="H10" s="475" t="s">
        <v>412</v>
      </c>
      <c r="I10" s="705" t="s">
        <v>365</v>
      </c>
      <c r="J10" s="1234"/>
      <c r="K10" s="1236"/>
      <c r="L10" s="1276"/>
    </row>
    <row r="11" spans="1:12" ht="15" x14ac:dyDescent="0.2">
      <c r="B11" s="388">
        <v>1</v>
      </c>
      <c r="C11" s="720" t="s">
        <v>631</v>
      </c>
      <c r="D11" s="716"/>
      <c r="E11" s="383">
        <v>4</v>
      </c>
      <c r="F11" s="717">
        <v>0</v>
      </c>
      <c r="G11" s="700">
        <v>12</v>
      </c>
      <c r="H11" s="383">
        <v>15</v>
      </c>
      <c r="I11" s="389">
        <v>180</v>
      </c>
      <c r="J11" s="719">
        <v>180</v>
      </c>
      <c r="K11" s="778">
        <v>6.3E-2</v>
      </c>
      <c r="L11" s="389">
        <v>11.34</v>
      </c>
    </row>
    <row r="12" spans="1:12" ht="15" x14ac:dyDescent="0.2">
      <c r="B12" s="388">
        <v>2</v>
      </c>
      <c r="C12" s="720" t="s">
        <v>632</v>
      </c>
      <c r="D12" s="716"/>
      <c r="E12" s="383">
        <v>4</v>
      </c>
      <c r="F12" s="717">
        <v>0</v>
      </c>
      <c r="G12" s="700">
        <v>12</v>
      </c>
      <c r="H12" s="383">
        <v>15</v>
      </c>
      <c r="I12" s="389">
        <v>180</v>
      </c>
      <c r="J12" s="719">
        <v>180</v>
      </c>
      <c r="K12" s="778">
        <v>6.3E-2</v>
      </c>
      <c r="L12" s="389">
        <v>11.34</v>
      </c>
    </row>
    <row r="13" spans="1:12" ht="15" x14ac:dyDescent="0.2">
      <c r="B13" s="388">
        <v>3</v>
      </c>
      <c r="C13" s="720" t="s">
        <v>633</v>
      </c>
      <c r="D13" s="716"/>
      <c r="E13" s="383">
        <v>4</v>
      </c>
      <c r="F13" s="717">
        <v>0</v>
      </c>
      <c r="G13" s="700">
        <v>20</v>
      </c>
      <c r="H13" s="383">
        <v>15</v>
      </c>
      <c r="I13" s="389">
        <v>300</v>
      </c>
      <c r="J13" s="719">
        <v>300</v>
      </c>
      <c r="K13" s="778">
        <v>6.3E-2</v>
      </c>
      <c r="L13" s="389">
        <v>18.899999999999999</v>
      </c>
    </row>
    <row r="14" spans="1:12" ht="15" x14ac:dyDescent="0.2">
      <c r="B14" s="388">
        <v>4</v>
      </c>
      <c r="C14" s="720" t="s">
        <v>634</v>
      </c>
      <c r="D14" s="716"/>
      <c r="E14" s="383">
        <v>4</v>
      </c>
      <c r="F14" s="717">
        <v>0</v>
      </c>
      <c r="G14" s="700">
        <v>4</v>
      </c>
      <c r="H14" s="383">
        <v>15</v>
      </c>
      <c r="I14" s="389">
        <v>60</v>
      </c>
      <c r="J14" s="719">
        <v>60</v>
      </c>
      <c r="K14" s="778">
        <v>6.3E-2</v>
      </c>
      <c r="L14" s="389">
        <v>3.78</v>
      </c>
    </row>
    <row r="15" spans="1:12" ht="15" x14ac:dyDescent="0.2">
      <c r="B15" s="388">
        <v>5</v>
      </c>
      <c r="C15" s="720" t="s">
        <v>635</v>
      </c>
      <c r="D15" s="716"/>
      <c r="E15" s="383">
        <v>4</v>
      </c>
      <c r="F15" s="717">
        <v>0</v>
      </c>
      <c r="G15" s="700">
        <v>4</v>
      </c>
      <c r="H15" s="383">
        <v>15</v>
      </c>
      <c r="I15" s="389">
        <v>60</v>
      </c>
      <c r="J15" s="719">
        <v>60</v>
      </c>
      <c r="K15" s="778">
        <v>6.3E-2</v>
      </c>
      <c r="L15" s="389">
        <v>3.78</v>
      </c>
    </row>
    <row r="16" spans="1:12" ht="15" x14ac:dyDescent="0.2">
      <c r="B16" s="388">
        <v>6</v>
      </c>
      <c r="C16" s="720" t="s">
        <v>636</v>
      </c>
      <c r="D16" s="716"/>
      <c r="E16" s="383">
        <v>4</v>
      </c>
      <c r="F16" s="717">
        <v>0</v>
      </c>
      <c r="G16" s="700">
        <v>8</v>
      </c>
      <c r="H16" s="383">
        <v>15</v>
      </c>
      <c r="I16" s="389">
        <v>120</v>
      </c>
      <c r="J16" s="719">
        <v>120</v>
      </c>
      <c r="K16" s="778">
        <v>6.3E-2</v>
      </c>
      <c r="L16" s="389">
        <v>7.56</v>
      </c>
    </row>
    <row r="17" spans="2:12" ht="15" x14ac:dyDescent="0.2">
      <c r="B17" s="388">
        <v>7</v>
      </c>
      <c r="C17" s="720" t="s">
        <v>637</v>
      </c>
      <c r="D17" s="716"/>
      <c r="E17" s="383">
        <v>4</v>
      </c>
      <c r="F17" s="717">
        <v>0</v>
      </c>
      <c r="G17" s="700">
        <v>12</v>
      </c>
      <c r="H17" s="383">
        <v>15</v>
      </c>
      <c r="I17" s="389">
        <v>180</v>
      </c>
      <c r="J17" s="719">
        <v>180</v>
      </c>
      <c r="K17" s="778">
        <v>6.3E-2</v>
      </c>
      <c r="L17" s="389">
        <v>11.34</v>
      </c>
    </row>
    <row r="18" spans="2:12" ht="15" x14ac:dyDescent="0.2">
      <c r="B18" s="388">
        <v>8</v>
      </c>
      <c r="C18" s="720" t="s">
        <v>638</v>
      </c>
      <c r="D18" s="716"/>
      <c r="E18" s="383">
        <v>4</v>
      </c>
      <c r="F18" s="717">
        <v>0</v>
      </c>
      <c r="G18" s="700">
        <v>12</v>
      </c>
      <c r="H18" s="383">
        <v>15</v>
      </c>
      <c r="I18" s="389">
        <v>180</v>
      </c>
      <c r="J18" s="719">
        <v>180</v>
      </c>
      <c r="K18" s="778">
        <v>6.3E-2</v>
      </c>
      <c r="L18" s="389">
        <v>11.34</v>
      </c>
    </row>
    <row r="19" spans="2:12" ht="15" x14ac:dyDescent="0.2">
      <c r="B19" s="388">
        <v>9</v>
      </c>
      <c r="C19" s="720" t="s">
        <v>639</v>
      </c>
      <c r="D19" s="716"/>
      <c r="E19" s="383">
        <v>4</v>
      </c>
      <c r="F19" s="717">
        <v>0</v>
      </c>
      <c r="G19" s="700">
        <v>12</v>
      </c>
      <c r="H19" s="383">
        <v>15</v>
      </c>
      <c r="I19" s="389">
        <v>180</v>
      </c>
      <c r="J19" s="719">
        <v>180</v>
      </c>
      <c r="K19" s="778">
        <v>6.3E-2</v>
      </c>
      <c r="L19" s="389">
        <v>11.34</v>
      </c>
    </row>
    <row r="20" spans="2:12" ht="15" x14ac:dyDescent="0.2">
      <c r="B20" s="388">
        <v>10</v>
      </c>
      <c r="C20" s="720" t="s">
        <v>642</v>
      </c>
      <c r="D20" s="716"/>
      <c r="E20" s="383">
        <v>4</v>
      </c>
      <c r="F20" s="717">
        <v>0</v>
      </c>
      <c r="G20" s="700">
        <v>12</v>
      </c>
      <c r="H20" s="383">
        <v>15</v>
      </c>
      <c r="I20" s="389">
        <v>180</v>
      </c>
      <c r="J20" s="719">
        <v>180</v>
      </c>
      <c r="K20" s="778">
        <v>6.3E-2</v>
      </c>
      <c r="L20" s="389">
        <v>11.34</v>
      </c>
    </row>
    <row r="21" spans="2:12" ht="15" x14ac:dyDescent="0.2">
      <c r="B21" s="388">
        <v>11</v>
      </c>
      <c r="C21" s="720" t="s">
        <v>643</v>
      </c>
      <c r="D21" s="716"/>
      <c r="E21" s="383">
        <v>4</v>
      </c>
      <c r="F21" s="717">
        <v>0</v>
      </c>
      <c r="G21" s="700">
        <v>12</v>
      </c>
      <c r="H21" s="383">
        <v>15</v>
      </c>
      <c r="I21" s="389">
        <v>180</v>
      </c>
      <c r="J21" s="719">
        <v>180</v>
      </c>
      <c r="K21" s="778">
        <v>6.3E-2</v>
      </c>
      <c r="L21" s="389">
        <v>11.34</v>
      </c>
    </row>
    <row r="22" spans="2:12" ht="15" x14ac:dyDescent="0.2">
      <c r="B22" s="388">
        <v>12</v>
      </c>
      <c r="C22" s="720" t="s">
        <v>640</v>
      </c>
      <c r="D22" s="716"/>
      <c r="E22" s="383">
        <v>4</v>
      </c>
      <c r="F22" s="717">
        <v>0</v>
      </c>
      <c r="G22" s="700">
        <v>8</v>
      </c>
      <c r="H22" s="383">
        <v>15</v>
      </c>
      <c r="I22" s="389">
        <v>120</v>
      </c>
      <c r="J22" s="719">
        <v>120</v>
      </c>
      <c r="K22" s="778">
        <v>6.3E-2</v>
      </c>
      <c r="L22" s="389">
        <v>7.56</v>
      </c>
    </row>
    <row r="23" spans="2:12" ht="15" x14ac:dyDescent="0.2">
      <c r="B23" s="721"/>
      <c r="C23" s="722"/>
      <c r="D23" s="723"/>
      <c r="E23" s="724"/>
      <c r="F23" s="725"/>
      <c r="G23" s="726"/>
      <c r="H23" s="724"/>
      <c r="I23" s="727"/>
      <c r="J23" s="728"/>
      <c r="K23" s="729"/>
      <c r="L23" s="727"/>
    </row>
    <row r="24" spans="2:12" ht="15.75" thickBot="1" x14ac:dyDescent="0.25">
      <c r="B24" s="1203" t="s">
        <v>406</v>
      </c>
      <c r="C24" s="1296"/>
      <c r="D24" s="718">
        <v>0</v>
      </c>
      <c r="E24" s="713"/>
      <c r="F24" s="718">
        <v>0</v>
      </c>
      <c r="G24" s="718">
        <v>128</v>
      </c>
      <c r="H24" s="491"/>
      <c r="I24" s="718">
        <v>1920</v>
      </c>
      <c r="J24" s="718">
        <v>1920</v>
      </c>
      <c r="K24" s="699"/>
      <c r="L24" s="718">
        <v>120.96</v>
      </c>
    </row>
    <row r="30" spans="2:12" x14ac:dyDescent="0.2">
      <c r="B30" s="315" t="s">
        <v>177</v>
      </c>
    </row>
    <row r="31" spans="2:12" x14ac:dyDescent="0.2">
      <c r="B31" s="109" t="s">
        <v>537</v>
      </c>
    </row>
  </sheetData>
  <mergeCells count="18">
    <mergeCell ref="A1:C2"/>
    <mergeCell ref="D1:L1"/>
    <mergeCell ref="D2:L2"/>
    <mergeCell ref="B5:D5"/>
    <mergeCell ref="I3:L6"/>
    <mergeCell ref="B6:D6"/>
    <mergeCell ref="G5:H5"/>
    <mergeCell ref="G4:H4"/>
    <mergeCell ref="A7:I7"/>
    <mergeCell ref="B9:B10"/>
    <mergeCell ref="C9:C10"/>
    <mergeCell ref="G9:I9"/>
    <mergeCell ref="D9:F9"/>
    <mergeCell ref="K9:K10"/>
    <mergeCell ref="L9:L10"/>
    <mergeCell ref="B8:L8"/>
    <mergeCell ref="J9:J10"/>
    <mergeCell ref="B24:C24"/>
  </mergeCells>
  <pageMargins left="0.51181102362204722" right="0.51181102362204722" top="0.78740157480314965" bottom="0.78740157480314965" header="0.31496062992125984" footer="0.31496062992125984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L47"/>
  <sheetViews>
    <sheetView view="pageBreakPreview" topLeftCell="A9" zoomScale="115" zoomScaleSheetLayoutView="115" workbookViewId="0">
      <selection activeCell="L16" sqref="L16"/>
    </sheetView>
  </sheetViews>
  <sheetFormatPr defaultRowHeight="12.75" x14ac:dyDescent="0.2"/>
  <cols>
    <col min="1" max="1" width="11.42578125" style="109" customWidth="1"/>
    <col min="2" max="2" width="31.28515625" style="109" customWidth="1"/>
    <col min="3" max="3" width="18.140625" style="109" customWidth="1"/>
    <col min="4" max="4" width="7.85546875" style="109" customWidth="1"/>
    <col min="5" max="5" width="10.7109375" style="109" customWidth="1"/>
    <col min="6" max="6" width="9.140625" style="109"/>
    <col min="7" max="7" width="10.85546875" style="109" customWidth="1"/>
    <col min="8" max="8" width="10.5703125" style="109" customWidth="1"/>
    <col min="9" max="9" width="13.28515625" style="109" customWidth="1"/>
    <col min="10" max="10" width="14" style="109" customWidth="1"/>
    <col min="11" max="11" width="11.140625" style="109" customWidth="1"/>
    <col min="12" max="16384" width="9.140625" style="109"/>
  </cols>
  <sheetData>
    <row r="1" spans="1:12" ht="48.75" customHeight="1" x14ac:dyDescent="0.2">
      <c r="A1" s="1183" t="s">
        <v>556</v>
      </c>
      <c r="B1" s="1184"/>
      <c r="C1" s="982" t="s">
        <v>54</v>
      </c>
      <c r="D1" s="982"/>
      <c r="E1" s="982"/>
      <c r="F1" s="982"/>
      <c r="G1" s="982"/>
      <c r="H1" s="982"/>
      <c r="I1" s="982"/>
      <c r="J1" s="983"/>
    </row>
    <row r="2" spans="1:12" ht="48.75" customHeight="1" x14ac:dyDescent="0.2">
      <c r="A2" s="1185"/>
      <c r="B2" s="1186"/>
      <c r="C2" s="985" t="s">
        <v>630</v>
      </c>
      <c r="D2" s="985"/>
      <c r="E2" s="985"/>
      <c r="F2" s="985"/>
      <c r="G2" s="985"/>
      <c r="H2" s="985"/>
      <c r="I2" s="985"/>
      <c r="J2" s="986"/>
    </row>
    <row r="3" spans="1:12" ht="15" x14ac:dyDescent="0.2">
      <c r="A3" s="399" t="s">
        <v>55</v>
      </c>
      <c r="B3" s="987" t="s">
        <v>663</v>
      </c>
      <c r="C3" s="987"/>
      <c r="D3" s="987"/>
      <c r="E3" s="987"/>
      <c r="F3" s="987"/>
      <c r="G3" s="987"/>
      <c r="H3" s="987"/>
      <c r="I3" s="991" t="s">
        <v>703</v>
      </c>
      <c r="J3" s="992"/>
    </row>
    <row r="4" spans="1:12" ht="15" customHeight="1" x14ac:dyDescent="0.2">
      <c r="A4" s="399" t="s">
        <v>56</v>
      </c>
      <c r="B4" s="987" t="s">
        <v>629</v>
      </c>
      <c r="C4" s="987"/>
      <c r="D4" s="987"/>
      <c r="E4" s="987"/>
      <c r="F4" s="987"/>
      <c r="G4" s="987"/>
      <c r="H4" s="987"/>
      <c r="I4" s="991"/>
      <c r="J4" s="992"/>
    </row>
    <row r="5" spans="1:12" ht="15" x14ac:dyDescent="0.2">
      <c r="A5" s="399" t="s">
        <v>57</v>
      </c>
      <c r="B5" s="987" t="s">
        <v>630</v>
      </c>
      <c r="C5" s="987"/>
      <c r="D5" s="987"/>
      <c r="E5" s="401" t="s">
        <v>374</v>
      </c>
      <c r="F5" s="989" t="s">
        <v>701</v>
      </c>
      <c r="G5" s="989"/>
      <c r="H5" s="989"/>
      <c r="I5" s="991"/>
      <c r="J5" s="992"/>
    </row>
    <row r="6" spans="1:12" ht="15.75" thickBot="1" x14ac:dyDescent="0.25">
      <c r="A6" s="402" t="s">
        <v>58</v>
      </c>
      <c r="B6" s="990">
        <v>37813.870000000003</v>
      </c>
      <c r="C6" s="990"/>
      <c r="D6" s="990"/>
      <c r="E6" s="403" t="s">
        <v>59</v>
      </c>
      <c r="F6" s="1187">
        <v>0.20699999999999999</v>
      </c>
      <c r="G6" s="1187"/>
      <c r="H6" s="403" t="s">
        <v>60</v>
      </c>
      <c r="I6" s="993"/>
      <c r="J6" s="994"/>
    </row>
    <row r="7" spans="1:12" ht="32.25" customHeight="1" thickBot="1" x14ac:dyDescent="0.25">
      <c r="A7" s="1317" t="s">
        <v>105</v>
      </c>
      <c r="B7" s="1318"/>
      <c r="C7" s="1318"/>
      <c r="D7" s="1318"/>
      <c r="E7" s="1318"/>
      <c r="F7" s="1318"/>
      <c r="G7" s="1318"/>
      <c r="H7" s="1318"/>
      <c r="I7" s="1318"/>
      <c r="J7" s="1319"/>
    </row>
    <row r="8" spans="1:12" ht="15.75" thickBot="1" x14ac:dyDescent="0.25">
      <c r="A8" s="111" t="s">
        <v>106</v>
      </c>
      <c r="B8" s="112"/>
      <c r="C8" s="112"/>
      <c r="D8" s="112"/>
      <c r="E8" s="112"/>
      <c r="F8" s="112"/>
      <c r="G8" s="112"/>
      <c r="H8" s="112"/>
      <c r="I8" s="112"/>
      <c r="J8" s="113"/>
      <c r="K8" s="114"/>
      <c r="L8" s="114"/>
    </row>
    <row r="9" spans="1:12" ht="15" x14ac:dyDescent="0.2">
      <c r="A9" s="115" t="s">
        <v>23</v>
      </c>
      <c r="B9" s="116" t="s">
        <v>220</v>
      </c>
      <c r="C9" s="117" t="s">
        <v>107</v>
      </c>
      <c r="D9" s="117">
        <v>0.21</v>
      </c>
      <c r="E9" s="24" t="s">
        <v>108</v>
      </c>
      <c r="F9" s="118">
        <v>22</v>
      </c>
      <c r="G9" s="117" t="s">
        <v>109</v>
      </c>
      <c r="H9" s="119" t="s">
        <v>110</v>
      </c>
      <c r="I9" s="120">
        <v>4.62</v>
      </c>
      <c r="J9" s="107" t="s">
        <v>6</v>
      </c>
      <c r="K9" s="114"/>
      <c r="L9" s="114"/>
    </row>
    <row r="10" spans="1:12" ht="15" x14ac:dyDescent="0.2">
      <c r="A10" s="121"/>
      <c r="B10" s="122"/>
      <c r="C10" s="123" t="s">
        <v>221</v>
      </c>
      <c r="D10" s="123"/>
      <c r="E10" s="124"/>
      <c r="F10" s="125"/>
      <c r="G10" s="126"/>
      <c r="H10" s="127"/>
      <c r="I10" s="128"/>
      <c r="J10" s="103"/>
      <c r="K10" s="114"/>
      <c r="L10" s="114"/>
    </row>
    <row r="11" spans="1:12" ht="15" x14ac:dyDescent="0.2">
      <c r="A11" s="115" t="s">
        <v>44</v>
      </c>
      <c r="B11" s="116" t="s">
        <v>112</v>
      </c>
      <c r="C11" s="117" t="s">
        <v>107</v>
      </c>
      <c r="D11" s="117">
        <v>0.25</v>
      </c>
      <c r="E11" s="24" t="s">
        <v>108</v>
      </c>
      <c r="F11" s="118">
        <v>48</v>
      </c>
      <c r="G11" s="117" t="s">
        <v>109</v>
      </c>
      <c r="H11" s="119" t="s">
        <v>110</v>
      </c>
      <c r="I11" s="120">
        <v>12</v>
      </c>
      <c r="J11" s="107" t="s">
        <v>6</v>
      </c>
    </row>
    <row r="12" spans="1:12" ht="15" x14ac:dyDescent="0.2">
      <c r="A12" s="121"/>
      <c r="B12" s="122"/>
      <c r="C12" s="123" t="s">
        <v>113</v>
      </c>
      <c r="D12" s="126"/>
      <c r="E12" s="124"/>
      <c r="F12" s="125"/>
      <c r="G12" s="126"/>
      <c r="H12" s="127"/>
      <c r="I12" s="128"/>
      <c r="J12" s="103"/>
    </row>
    <row r="13" spans="1:12" ht="15" x14ac:dyDescent="0.2">
      <c r="A13" s="115" t="s">
        <v>45</v>
      </c>
      <c r="B13" s="116" t="s">
        <v>148</v>
      </c>
      <c r="C13" s="117" t="s">
        <v>107</v>
      </c>
      <c r="D13" s="129">
        <v>0.11</v>
      </c>
      <c r="E13" s="24" t="s">
        <v>108</v>
      </c>
      <c r="F13" s="118">
        <v>64</v>
      </c>
      <c r="G13" s="117" t="s">
        <v>109</v>
      </c>
      <c r="H13" s="119" t="s">
        <v>110</v>
      </c>
      <c r="I13" s="120">
        <v>7.04</v>
      </c>
      <c r="J13" s="107" t="s">
        <v>6</v>
      </c>
    </row>
    <row r="14" spans="1:12" x14ac:dyDescent="0.2">
      <c r="A14" s="121"/>
      <c r="B14" s="126"/>
      <c r="C14" s="130" t="s">
        <v>583</v>
      </c>
      <c r="D14" s="126"/>
      <c r="E14" s="124"/>
      <c r="F14" s="126"/>
      <c r="G14" s="126"/>
      <c r="H14" s="127"/>
      <c r="I14" s="1"/>
      <c r="J14" s="104"/>
    </row>
    <row r="15" spans="1:12" ht="15" x14ac:dyDescent="0.2">
      <c r="A15" s="131"/>
      <c r="B15" s="132"/>
      <c r="C15" s="132"/>
      <c r="D15" s="132"/>
      <c r="E15" s="133"/>
      <c r="F15" s="132" t="s">
        <v>13</v>
      </c>
      <c r="G15" s="132"/>
      <c r="H15" s="134"/>
      <c r="I15" s="135">
        <v>23.66</v>
      </c>
      <c r="J15" s="108" t="s">
        <v>6</v>
      </c>
    </row>
    <row r="16" spans="1:12" ht="13.5" thickBot="1" x14ac:dyDescent="0.25">
      <c r="A16" s="1320"/>
      <c r="B16" s="1321"/>
      <c r="C16" s="1321"/>
      <c r="D16" s="1321"/>
      <c r="E16" s="1321"/>
      <c r="F16" s="1321"/>
      <c r="G16" s="1321"/>
      <c r="H16" s="1321"/>
      <c r="I16" s="1322"/>
      <c r="J16" s="1323"/>
      <c r="K16" s="136"/>
      <c r="L16" s="110"/>
    </row>
    <row r="17" spans="1:12" ht="15.75" thickBot="1" x14ac:dyDescent="0.25">
      <c r="A17" s="111" t="s">
        <v>114</v>
      </c>
      <c r="B17" s="112"/>
      <c r="C17" s="112"/>
      <c r="D17" s="112"/>
      <c r="E17" s="112"/>
      <c r="F17" s="112"/>
      <c r="G17" s="137"/>
      <c r="H17" s="137"/>
      <c r="I17" s="137"/>
      <c r="J17" s="138"/>
      <c r="K17" s="136"/>
    </row>
    <row r="18" spans="1:12" x14ac:dyDescent="0.2">
      <c r="A18" s="139" t="s">
        <v>24</v>
      </c>
      <c r="B18" s="1" t="s">
        <v>115</v>
      </c>
      <c r="C18" s="1"/>
      <c r="D18" s="1"/>
      <c r="E18" s="140" t="s">
        <v>110</v>
      </c>
      <c r="F18" s="141">
        <v>70</v>
      </c>
      <c r="G18" s="1" t="s">
        <v>109</v>
      </c>
      <c r="H18" s="1"/>
      <c r="I18" s="1"/>
      <c r="J18" s="2"/>
    </row>
    <row r="19" spans="1:12" x14ac:dyDescent="0.2">
      <c r="A19" s="139"/>
      <c r="B19" s="1"/>
      <c r="C19" s="1"/>
      <c r="D19" s="1"/>
      <c r="E19" s="294"/>
      <c r="F19" s="1"/>
      <c r="G19" s="1"/>
      <c r="H19" s="1"/>
      <c r="I19" s="1"/>
      <c r="J19" s="2"/>
    </row>
    <row r="20" spans="1:12" x14ac:dyDescent="0.2">
      <c r="A20" s="121" t="s">
        <v>32</v>
      </c>
      <c r="B20" s="904" t="s">
        <v>582</v>
      </c>
      <c r="C20" s="126"/>
      <c r="D20" s="126"/>
      <c r="E20" s="127" t="s">
        <v>110</v>
      </c>
      <c r="F20" s="142">
        <v>32</v>
      </c>
      <c r="G20" s="126" t="s">
        <v>109</v>
      </c>
      <c r="H20" s="126"/>
      <c r="I20" s="126"/>
      <c r="J20" s="143"/>
    </row>
    <row r="21" spans="1:12" ht="13.5" thickBot="1" x14ac:dyDescent="0.25">
      <c r="A21" s="139"/>
      <c r="B21" s="25"/>
      <c r="C21" s="1"/>
      <c r="D21" s="1"/>
      <c r="E21" s="140"/>
      <c r="F21" s="141"/>
      <c r="G21" s="1"/>
      <c r="H21" s="1"/>
      <c r="I21" s="1"/>
      <c r="J21" s="2"/>
    </row>
    <row r="22" spans="1:12" ht="15" x14ac:dyDescent="0.2">
      <c r="A22" s="144" t="s">
        <v>116</v>
      </c>
      <c r="B22" s="145"/>
      <c r="C22" s="145"/>
      <c r="D22" s="145"/>
      <c r="E22" s="146"/>
      <c r="F22" s="145"/>
      <c r="G22" s="145"/>
      <c r="H22" s="145"/>
      <c r="I22" s="145"/>
      <c r="J22" s="147"/>
    </row>
    <row r="23" spans="1:12" x14ac:dyDescent="0.2">
      <c r="A23" s="148" t="s">
        <v>25</v>
      </c>
      <c r="B23" s="149" t="s">
        <v>117</v>
      </c>
      <c r="C23" s="149"/>
      <c r="D23" s="149" t="s">
        <v>118</v>
      </c>
      <c r="E23" s="149" t="s">
        <v>119</v>
      </c>
      <c r="F23" s="149" t="s">
        <v>120</v>
      </c>
      <c r="G23" s="149"/>
      <c r="H23" s="149"/>
      <c r="I23" s="150" t="s">
        <v>121</v>
      </c>
      <c r="J23" s="151"/>
    </row>
    <row r="24" spans="1:12" ht="15" x14ac:dyDescent="0.2">
      <c r="A24" s="152" t="s">
        <v>38</v>
      </c>
      <c r="B24" s="153"/>
      <c r="C24" s="154"/>
      <c r="D24" s="22">
        <v>0.12</v>
      </c>
      <c r="E24" s="23">
        <v>2</v>
      </c>
      <c r="F24" s="155">
        <v>600</v>
      </c>
      <c r="G24" s="153"/>
      <c r="H24" s="153"/>
      <c r="I24" s="156">
        <v>144</v>
      </c>
      <c r="J24" s="102" t="s">
        <v>6</v>
      </c>
      <c r="L24" s="109">
        <v>75.016249999999999</v>
      </c>
    </row>
    <row r="25" spans="1:12" x14ac:dyDescent="0.2">
      <c r="A25" s="157" t="s">
        <v>26</v>
      </c>
      <c r="B25" s="117" t="s">
        <v>225</v>
      </c>
      <c r="C25" s="117"/>
      <c r="D25" s="117"/>
      <c r="E25" s="117" t="s">
        <v>224</v>
      </c>
      <c r="F25" s="117" t="s">
        <v>120</v>
      </c>
      <c r="G25" s="117"/>
      <c r="H25" s="117"/>
      <c r="I25" s="158" t="s">
        <v>121</v>
      </c>
      <c r="J25" s="107"/>
    </row>
    <row r="26" spans="1:12" ht="15" x14ac:dyDescent="0.2">
      <c r="A26" s="159" t="s">
        <v>152</v>
      </c>
      <c r="B26" s="126"/>
      <c r="C26" s="160"/>
      <c r="D26" s="126"/>
      <c r="E26" s="124">
        <v>4.12</v>
      </c>
      <c r="F26" s="161">
        <v>22</v>
      </c>
      <c r="G26" s="161"/>
      <c r="H26" s="161"/>
      <c r="I26" s="162">
        <v>90.64</v>
      </c>
      <c r="J26" s="103" t="s">
        <v>6</v>
      </c>
    </row>
    <row r="27" spans="1:12" x14ac:dyDescent="0.2">
      <c r="A27" s="157" t="s">
        <v>27</v>
      </c>
      <c r="B27" s="117" t="s">
        <v>122</v>
      </c>
      <c r="C27" s="117"/>
      <c r="D27" s="117"/>
      <c r="E27" s="117" t="s">
        <v>123</v>
      </c>
      <c r="F27" s="117" t="s">
        <v>118</v>
      </c>
      <c r="G27" s="117" t="s">
        <v>120</v>
      </c>
      <c r="H27" s="117" t="s">
        <v>124</v>
      </c>
      <c r="I27" s="116" t="s">
        <v>121</v>
      </c>
      <c r="J27" s="107"/>
    </row>
    <row r="28" spans="1:12" ht="15" x14ac:dyDescent="0.2">
      <c r="A28" s="159" t="s">
        <v>39</v>
      </c>
      <c r="B28" s="126"/>
      <c r="C28" s="160"/>
      <c r="D28" s="126"/>
      <c r="E28" s="161">
        <v>4</v>
      </c>
      <c r="F28" s="163">
        <v>0.4</v>
      </c>
      <c r="G28" s="161">
        <v>8</v>
      </c>
      <c r="H28" s="161">
        <v>64</v>
      </c>
      <c r="I28" s="164">
        <v>819.2</v>
      </c>
      <c r="J28" s="103" t="s">
        <v>6</v>
      </c>
    </row>
    <row r="29" spans="1:12" x14ac:dyDescent="0.2">
      <c r="A29" s="157" t="s">
        <v>29</v>
      </c>
      <c r="B29" s="117" t="s">
        <v>222</v>
      </c>
      <c r="C29" s="117"/>
      <c r="D29" s="117"/>
      <c r="E29" s="117" t="s">
        <v>123</v>
      </c>
      <c r="F29" s="117" t="s">
        <v>118</v>
      </c>
      <c r="G29" s="117" t="s">
        <v>120</v>
      </c>
      <c r="H29" s="117"/>
      <c r="I29" s="158" t="s">
        <v>121</v>
      </c>
      <c r="J29" s="107"/>
    </row>
    <row r="30" spans="1:12" ht="15" x14ac:dyDescent="0.2">
      <c r="A30" s="159" t="s">
        <v>41</v>
      </c>
      <c r="B30" s="126"/>
      <c r="C30" s="160"/>
      <c r="D30" s="126"/>
      <c r="E30" s="161">
        <v>4.2</v>
      </c>
      <c r="F30" s="163">
        <v>0.4</v>
      </c>
      <c r="G30" s="161">
        <v>22</v>
      </c>
      <c r="H30" s="161"/>
      <c r="I30" s="162">
        <v>36.96</v>
      </c>
      <c r="J30" s="103" t="s">
        <v>6</v>
      </c>
    </row>
    <row r="31" spans="1:12" x14ac:dyDescent="0.2">
      <c r="A31" s="157" t="s">
        <v>47</v>
      </c>
      <c r="B31" s="117" t="s">
        <v>223</v>
      </c>
      <c r="C31" s="117"/>
      <c r="D31" s="117"/>
      <c r="E31" s="117" t="s">
        <v>123</v>
      </c>
      <c r="F31" s="117" t="s">
        <v>118</v>
      </c>
      <c r="G31" s="117" t="s">
        <v>120</v>
      </c>
      <c r="H31" s="117"/>
      <c r="I31" s="158" t="s">
        <v>121</v>
      </c>
      <c r="J31" s="107"/>
    </row>
    <row r="32" spans="1:12" ht="15" x14ac:dyDescent="0.2">
      <c r="A32" s="165" t="s">
        <v>229</v>
      </c>
      <c r="B32" s="1"/>
      <c r="C32" s="166"/>
      <c r="D32" s="1"/>
      <c r="E32" s="167">
        <v>20</v>
      </c>
      <c r="F32" s="168">
        <v>0.12</v>
      </c>
      <c r="G32" s="167">
        <v>22</v>
      </c>
      <c r="H32" s="167"/>
      <c r="I32" s="169">
        <v>52.8</v>
      </c>
      <c r="J32" s="104" t="s">
        <v>6</v>
      </c>
    </row>
    <row r="33" spans="1:12" ht="15" x14ac:dyDescent="0.2">
      <c r="A33" s="170" t="s">
        <v>180</v>
      </c>
      <c r="B33" s="117" t="s">
        <v>125</v>
      </c>
      <c r="C33" s="24"/>
      <c r="D33" s="24"/>
      <c r="E33" s="116" t="s">
        <v>126</v>
      </c>
      <c r="F33" s="116" t="s">
        <v>118</v>
      </c>
      <c r="G33" s="116"/>
      <c r="H33" s="117"/>
      <c r="I33" s="158" t="s">
        <v>121</v>
      </c>
      <c r="J33" s="171"/>
    </row>
    <row r="34" spans="1:12" ht="15" x14ac:dyDescent="0.2">
      <c r="A34" s="159" t="s">
        <v>230</v>
      </c>
      <c r="B34" s="126" t="s">
        <v>149</v>
      </c>
      <c r="C34" s="172"/>
      <c r="D34" s="173"/>
      <c r="E34" s="173">
        <v>9583.57</v>
      </c>
      <c r="F34" s="126">
        <v>0.12</v>
      </c>
      <c r="G34" s="164"/>
      <c r="H34" s="126"/>
      <c r="I34" s="162">
        <v>1150.03</v>
      </c>
      <c r="J34" s="105" t="s">
        <v>6</v>
      </c>
      <c r="K34" s="1316"/>
      <c r="L34" s="1316"/>
    </row>
    <row r="35" spans="1:12" ht="15.75" thickBot="1" x14ac:dyDescent="0.25">
      <c r="A35" s="174"/>
      <c r="B35" s="3"/>
      <c r="C35" s="175"/>
      <c r="D35" s="3"/>
      <c r="E35" s="176"/>
      <c r="F35" s="177" t="s">
        <v>127</v>
      </c>
      <c r="G35" s="178"/>
      <c r="H35" s="178"/>
      <c r="I35" s="179">
        <v>2293.63</v>
      </c>
      <c r="J35" s="106" t="s">
        <v>6</v>
      </c>
    </row>
    <row r="36" spans="1:12" ht="13.5" thickBot="1" x14ac:dyDescent="0.25">
      <c r="A36" s="1308"/>
      <c r="B36" s="1309"/>
      <c r="C36" s="1309"/>
      <c r="D36" s="1309"/>
      <c r="E36" s="1309"/>
      <c r="F36" s="1309"/>
      <c r="G36" s="1309"/>
      <c r="H36" s="1309"/>
      <c r="I36" s="1309"/>
      <c r="J36" s="1310"/>
    </row>
    <row r="37" spans="1:12" ht="21" x14ac:dyDescent="0.2">
      <c r="A37" s="1311" t="s">
        <v>128</v>
      </c>
      <c r="B37" s="1312"/>
      <c r="C37" s="1312"/>
      <c r="D37" s="1312"/>
      <c r="E37" s="1312"/>
      <c r="F37" s="1312"/>
      <c r="G37" s="1312"/>
      <c r="H37" s="1312"/>
      <c r="I37" s="1312"/>
      <c r="J37" s="1313"/>
    </row>
    <row r="38" spans="1:12" ht="15" customHeight="1" x14ac:dyDescent="0.2">
      <c r="A38" s="1314" t="s">
        <v>544</v>
      </c>
      <c r="B38" s="1315"/>
      <c r="C38" s="1315"/>
      <c r="D38" s="1315"/>
      <c r="E38" s="1315"/>
      <c r="F38" s="1315"/>
      <c r="G38" s="1315"/>
      <c r="H38" s="180"/>
      <c r="I38" s="181">
        <v>64</v>
      </c>
      <c r="J38" s="182" t="s">
        <v>48</v>
      </c>
      <c r="K38" s="183"/>
    </row>
    <row r="39" spans="1:12" ht="15" customHeight="1" x14ac:dyDescent="0.2">
      <c r="A39" s="1314" t="s">
        <v>543</v>
      </c>
      <c r="B39" s="1315"/>
      <c r="C39" s="1315"/>
      <c r="D39" s="1315"/>
      <c r="E39" s="1315"/>
      <c r="F39" s="1315"/>
      <c r="G39" s="1315"/>
      <c r="H39" s="180"/>
      <c r="I39" s="181">
        <v>16.62</v>
      </c>
      <c r="J39" s="182" t="s">
        <v>35</v>
      </c>
      <c r="K39" s="183"/>
    </row>
    <row r="40" spans="1:12" ht="15" customHeight="1" x14ac:dyDescent="0.2">
      <c r="A40" s="1314" t="s">
        <v>545</v>
      </c>
      <c r="B40" s="1315"/>
      <c r="C40" s="1315"/>
      <c r="D40" s="1315"/>
      <c r="E40" s="1315"/>
      <c r="F40" s="1315"/>
      <c r="G40" s="1315"/>
      <c r="H40" s="180"/>
      <c r="I40" s="184">
        <v>70</v>
      </c>
      <c r="J40" s="182" t="s">
        <v>48</v>
      </c>
      <c r="K40" s="185"/>
    </row>
    <row r="41" spans="1:12" ht="15" customHeight="1" x14ac:dyDescent="0.2">
      <c r="A41" s="1314" t="s">
        <v>581</v>
      </c>
      <c r="B41" s="1315"/>
      <c r="C41" s="1315"/>
      <c r="D41" s="1315"/>
      <c r="E41" s="1315"/>
      <c r="F41" s="1315"/>
      <c r="G41" s="1315"/>
      <c r="H41" s="180"/>
      <c r="I41" s="184">
        <v>32</v>
      </c>
      <c r="J41" s="182" t="s">
        <v>48</v>
      </c>
      <c r="K41" s="185"/>
    </row>
    <row r="42" spans="1:12" ht="15" customHeight="1" thickBot="1" x14ac:dyDescent="0.25">
      <c r="A42" s="1306" t="s">
        <v>546</v>
      </c>
      <c r="B42" s="1307"/>
      <c r="C42" s="1307"/>
      <c r="D42" s="1307"/>
      <c r="E42" s="1307"/>
      <c r="F42" s="1307"/>
      <c r="G42" s="1307"/>
      <c r="H42" s="186"/>
      <c r="I42" s="187">
        <v>2293.63</v>
      </c>
      <c r="J42" s="188" t="s">
        <v>35</v>
      </c>
      <c r="K42" s="185"/>
    </row>
    <row r="43" spans="1:12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</row>
    <row r="44" spans="1:12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</row>
    <row r="45" spans="1:12" ht="62.25" customHeight="1" x14ac:dyDescent="0.2"/>
    <row r="46" spans="1:12" x14ac:dyDescent="0.2">
      <c r="B46" s="189" t="s">
        <v>177</v>
      </c>
    </row>
    <row r="47" spans="1:12" x14ac:dyDescent="0.2">
      <c r="B47" s="392" t="s">
        <v>537</v>
      </c>
    </row>
  </sheetData>
  <mergeCells count="20">
    <mergeCell ref="A7:J7"/>
    <mergeCell ref="A16:J16"/>
    <mergeCell ref="C1:J1"/>
    <mergeCell ref="C2:J2"/>
    <mergeCell ref="A1:B2"/>
    <mergeCell ref="B6:D6"/>
    <mergeCell ref="F6:G6"/>
    <mergeCell ref="B3:H3"/>
    <mergeCell ref="I3:J6"/>
    <mergeCell ref="B4:H4"/>
    <mergeCell ref="B5:D5"/>
    <mergeCell ref="F5:H5"/>
    <mergeCell ref="A42:G42"/>
    <mergeCell ref="A36:J36"/>
    <mergeCell ref="A37:J37"/>
    <mergeCell ref="A38:G38"/>
    <mergeCell ref="K34:L34"/>
    <mergeCell ref="A40:G40"/>
    <mergeCell ref="A39:G39"/>
    <mergeCell ref="A41:G41"/>
  </mergeCells>
  <pageMargins left="0.39370078740157483" right="0.39370078740157483" top="0.39370078740157483" bottom="0.39370078740157483" header="0.31496062992125984" footer="0.31496062992125984"/>
  <pageSetup paperSize="9" scale="7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67"/>
  <sheetViews>
    <sheetView view="pageBreakPreview" topLeftCell="A31" zoomScale="115" zoomScaleSheetLayoutView="115" workbookViewId="0">
      <selection activeCell="B42" sqref="B42:F42"/>
    </sheetView>
  </sheetViews>
  <sheetFormatPr defaultRowHeight="12.75" x14ac:dyDescent="0.2"/>
  <cols>
    <col min="1" max="1" width="13.5703125" style="13" customWidth="1"/>
    <col min="2" max="2" width="34.5703125" style="109" customWidth="1"/>
    <col min="3" max="3" width="7.42578125" style="109" customWidth="1"/>
    <col min="4" max="5" width="9.7109375" style="109" customWidth="1"/>
    <col min="6" max="6" width="6.42578125" style="109" customWidth="1"/>
    <col min="7" max="7" width="8.42578125" style="13" customWidth="1"/>
    <col min="8" max="8" width="11.7109375" style="109" customWidth="1"/>
    <col min="9" max="9" width="12.140625" style="109" customWidth="1"/>
    <col min="10" max="10" width="11.5703125" style="109" customWidth="1"/>
    <col min="11" max="16384" width="9.140625" style="109"/>
  </cols>
  <sheetData>
    <row r="1" spans="1:10" ht="15.75" x14ac:dyDescent="0.25">
      <c r="A1" s="1324" t="str">
        <f>Terrap.!C1</f>
        <v>ESTADO DE MATO GROSSO</v>
      </c>
      <c r="B1" s="1325"/>
      <c r="C1" s="1325"/>
      <c r="D1" s="1325"/>
      <c r="E1" s="1325"/>
      <c r="F1" s="1325"/>
      <c r="G1" s="1325"/>
      <c r="H1" s="1325"/>
      <c r="I1" s="1325"/>
      <c r="J1" s="1326"/>
    </row>
    <row r="2" spans="1:10" ht="15.75" x14ac:dyDescent="0.25">
      <c r="A2" s="1327" t="str">
        <f>Terrap.!C2</f>
        <v>PREFEITURA MUNICIPAL DE CLAUDIA</v>
      </c>
      <c r="B2" s="1328"/>
      <c r="C2" s="1328"/>
      <c r="D2" s="1328"/>
      <c r="E2" s="1328"/>
      <c r="F2" s="1328"/>
      <c r="G2" s="1328"/>
      <c r="H2" s="1328"/>
      <c r="I2" s="1328"/>
      <c r="J2" s="1329"/>
    </row>
    <row r="3" spans="1:10" ht="15.75" x14ac:dyDescent="0.25">
      <c r="A3" s="94"/>
      <c r="B3" s="93"/>
      <c r="C3" s="93"/>
      <c r="D3" s="93"/>
      <c r="E3" s="93"/>
      <c r="F3" s="93"/>
      <c r="G3" s="93"/>
      <c r="H3" s="93"/>
      <c r="I3" s="93"/>
      <c r="J3" s="95"/>
    </row>
    <row r="4" spans="1:10" ht="15.75" x14ac:dyDescent="0.25">
      <c r="A4" s="96" t="s">
        <v>55</v>
      </c>
      <c r="B4" s="1330" t="str">
        <f>Terrap.!B3</f>
        <v>PAVIMENTAÇÃO ASFALTICA E DRENAGEM DE AGUAS PLUVIAIS</v>
      </c>
      <c r="C4" s="1330"/>
      <c r="D4" s="1330"/>
      <c r="E4" s="1330"/>
      <c r="F4" s="1330"/>
      <c r="G4" s="1330"/>
      <c r="H4" s="1330"/>
      <c r="I4" s="1330"/>
      <c r="J4" s="1331"/>
    </row>
    <row r="5" spans="1:10" ht="12.75" customHeight="1" x14ac:dyDescent="0.25">
      <c r="A5" s="96" t="s">
        <v>56</v>
      </c>
      <c r="B5" s="1330" t="str">
        <f>Terrap.!B4</f>
        <v>DIVERSAS RUAS - PERIMETRO URBANO</v>
      </c>
      <c r="C5" s="1330"/>
      <c r="D5" s="1330"/>
      <c r="E5" s="1330"/>
      <c r="F5" s="1330"/>
      <c r="G5" s="1330"/>
      <c r="H5" s="1330"/>
      <c r="I5" s="1330"/>
      <c r="J5" s="1331"/>
    </row>
    <row r="6" spans="1:10" ht="15.75" customHeight="1" x14ac:dyDescent="0.25">
      <c r="A6" s="96" t="s">
        <v>57</v>
      </c>
      <c r="B6" s="1330" t="str">
        <f>Terrap.!B5</f>
        <v>PREFEITURA MUNICIPAL DE CLAUDIA</v>
      </c>
      <c r="C6" s="1330"/>
      <c r="D6" s="1330"/>
      <c r="E6" s="1330"/>
      <c r="F6" s="1330"/>
      <c r="G6" s="1330"/>
      <c r="H6" s="1330"/>
      <c r="I6" s="1332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  <c r="J6" s="1333"/>
    </row>
    <row r="7" spans="1:10" ht="18" customHeight="1" thickBot="1" x14ac:dyDescent="0.3">
      <c r="A7" s="97" t="s">
        <v>58</v>
      </c>
      <c r="B7" s="100">
        <f>Pavim.!C26</f>
        <v>37813.870000000003</v>
      </c>
      <c r="C7" s="101"/>
      <c r="D7" s="98"/>
      <c r="E7" s="99" t="s">
        <v>59</v>
      </c>
      <c r="F7" s="1336">
        <f>Terrap.!F6</f>
        <v>0.20699999999999999</v>
      </c>
      <c r="G7" s="1336"/>
      <c r="H7" s="99" t="s">
        <v>60</v>
      </c>
      <c r="I7" s="1334"/>
      <c r="J7" s="1335"/>
    </row>
    <row r="8" spans="1:10" ht="18" customHeight="1" thickBot="1" x14ac:dyDescent="0.25">
      <c r="A8" s="1230" t="s">
        <v>295</v>
      </c>
      <c r="B8" s="1231"/>
      <c r="C8" s="1231"/>
      <c r="D8" s="1231"/>
      <c r="E8" s="1231"/>
      <c r="F8" s="1231"/>
      <c r="G8" s="1231"/>
      <c r="H8" s="1231"/>
      <c r="I8" s="1231"/>
      <c r="J8" s="1232"/>
    </row>
    <row r="9" spans="1:10" ht="18" customHeight="1" thickBot="1" x14ac:dyDescent="0.25">
      <c r="A9" s="225"/>
      <c r="B9" s="225"/>
      <c r="C9" s="225"/>
      <c r="D9" s="225"/>
      <c r="E9" s="225"/>
      <c r="F9" s="225"/>
      <c r="G9" s="225"/>
      <c r="H9" s="225"/>
      <c r="I9" s="225"/>
      <c r="J9" s="225"/>
    </row>
    <row r="10" spans="1:10" ht="18.75" customHeight="1" thickBot="1" x14ac:dyDescent="0.25">
      <c r="A10" s="1352" t="s">
        <v>184</v>
      </c>
      <c r="B10" s="1353"/>
      <c r="C10" s="1353"/>
      <c r="D10" s="1353"/>
      <c r="E10" s="1353"/>
      <c r="F10" s="1353"/>
      <c r="G10" s="1353"/>
      <c r="H10" s="1353"/>
      <c r="I10" s="1353"/>
      <c r="J10" s="1354"/>
    </row>
    <row r="11" spans="1:10" ht="18.75" customHeight="1" thickBot="1" x14ac:dyDescent="0.25">
      <c r="A11" s="231" t="s">
        <v>296</v>
      </c>
      <c r="B11" s="1358" t="s">
        <v>297</v>
      </c>
      <c r="C11" s="1358"/>
      <c r="D11" s="1358"/>
      <c r="E11" s="1358"/>
      <c r="F11" s="1358"/>
      <c r="G11" s="1358"/>
      <c r="H11" s="1358"/>
      <c r="I11" s="1358"/>
      <c r="J11" s="1359"/>
    </row>
    <row r="12" spans="1:10" x14ac:dyDescent="0.2">
      <c r="A12" s="219" t="s">
        <v>191</v>
      </c>
      <c r="B12" s="1340" t="s">
        <v>186</v>
      </c>
      <c r="C12" s="1341"/>
      <c r="D12" s="1341"/>
      <c r="E12" s="1341"/>
      <c r="F12" s="1342"/>
      <c r="G12" s="209" t="s">
        <v>187</v>
      </c>
      <c r="H12" s="209" t="s">
        <v>188</v>
      </c>
      <c r="I12" s="209" t="s">
        <v>189</v>
      </c>
      <c r="J12" s="230" t="s">
        <v>190</v>
      </c>
    </row>
    <row r="13" spans="1:10" ht="25.5" customHeight="1" x14ac:dyDescent="0.2">
      <c r="A13" s="224">
        <v>6256</v>
      </c>
      <c r="B13" s="1337" t="s">
        <v>192</v>
      </c>
      <c r="C13" s="1338"/>
      <c r="D13" s="1338"/>
      <c r="E13" s="1338"/>
      <c r="F13" s="1339"/>
      <c r="G13" s="37" t="s">
        <v>193</v>
      </c>
      <c r="H13" s="191">
        <v>7.6899999999999998E-3</v>
      </c>
      <c r="I13" s="192">
        <v>168.45</v>
      </c>
      <c r="J13" s="204">
        <f t="shared" ref="J13:J18" si="0">ROUND((H13*I13),2)</f>
        <v>1.3</v>
      </c>
    </row>
    <row r="14" spans="1:10" x14ac:dyDescent="0.2">
      <c r="A14" s="224">
        <v>6879</v>
      </c>
      <c r="B14" s="1337" t="s">
        <v>194</v>
      </c>
      <c r="C14" s="1338"/>
      <c r="D14" s="1338"/>
      <c r="E14" s="1338"/>
      <c r="F14" s="1339"/>
      <c r="G14" s="37" t="s">
        <v>193</v>
      </c>
      <c r="H14" s="191">
        <v>4.62E-3</v>
      </c>
      <c r="I14" s="192">
        <v>114.17</v>
      </c>
      <c r="J14" s="204">
        <f t="shared" si="0"/>
        <v>0.53</v>
      </c>
    </row>
    <row r="15" spans="1:10" ht="31.5" customHeight="1" x14ac:dyDescent="0.2">
      <c r="A15" s="224">
        <v>6880</v>
      </c>
      <c r="B15" s="1337" t="s">
        <v>194</v>
      </c>
      <c r="C15" s="1338"/>
      <c r="D15" s="1338"/>
      <c r="E15" s="1338"/>
      <c r="F15" s="1339"/>
      <c r="G15" s="37" t="s">
        <v>195</v>
      </c>
      <c r="H15" s="191">
        <v>3.0799999999999998E-3</v>
      </c>
      <c r="I15" s="192">
        <v>43.09</v>
      </c>
      <c r="J15" s="204">
        <f t="shared" si="0"/>
        <v>0.13</v>
      </c>
    </row>
    <row r="16" spans="1:10" ht="28.5" customHeight="1" x14ac:dyDescent="0.2">
      <c r="A16" s="224">
        <v>7018</v>
      </c>
      <c r="B16" s="1337" t="s">
        <v>196</v>
      </c>
      <c r="C16" s="1338"/>
      <c r="D16" s="1338"/>
      <c r="E16" s="1338"/>
      <c r="F16" s="1339"/>
      <c r="G16" s="37" t="s">
        <v>193</v>
      </c>
      <c r="H16" s="191">
        <v>3.8500000000000001E-3</v>
      </c>
      <c r="I16" s="192">
        <v>179.91</v>
      </c>
      <c r="J16" s="204">
        <f t="shared" si="0"/>
        <v>0.69</v>
      </c>
    </row>
    <row r="17" spans="1:10" ht="30.75" customHeight="1" x14ac:dyDescent="0.2">
      <c r="A17" s="224">
        <v>7021</v>
      </c>
      <c r="B17" s="1337" t="s">
        <v>197</v>
      </c>
      <c r="C17" s="1338"/>
      <c r="D17" s="1338"/>
      <c r="E17" s="1338"/>
      <c r="F17" s="1339"/>
      <c r="G17" s="37" t="s">
        <v>198</v>
      </c>
      <c r="H17" s="191">
        <f>H16</f>
        <v>3.8500000000000001E-3</v>
      </c>
      <c r="I17" s="192">
        <v>12.24</v>
      </c>
      <c r="J17" s="204">
        <f t="shared" si="0"/>
        <v>0.05</v>
      </c>
    </row>
    <row r="18" spans="1:10" ht="21" customHeight="1" x14ac:dyDescent="0.2">
      <c r="A18" s="224">
        <v>73408</v>
      </c>
      <c r="B18" s="1337" t="s">
        <v>199</v>
      </c>
      <c r="C18" s="1338"/>
      <c r="D18" s="1338"/>
      <c r="E18" s="1338"/>
      <c r="F18" s="1339"/>
      <c r="G18" s="37" t="s">
        <v>193</v>
      </c>
      <c r="H18" s="191">
        <v>7.6899999999999998E-3</v>
      </c>
      <c r="I18" s="192">
        <v>113.44</v>
      </c>
      <c r="J18" s="204">
        <f t="shared" si="0"/>
        <v>0.87</v>
      </c>
    </row>
    <row r="19" spans="1:10" ht="13.5" thickBot="1" x14ac:dyDescent="0.25">
      <c r="A19" s="205"/>
      <c r="B19" s="1346" t="s">
        <v>200</v>
      </c>
      <c r="C19" s="1347"/>
      <c r="D19" s="1347"/>
      <c r="E19" s="1347"/>
      <c r="F19" s="1348"/>
      <c r="G19" s="223"/>
      <c r="H19" s="207"/>
      <c r="I19" s="206"/>
      <c r="J19" s="208">
        <f>SUM(J13:J18)</f>
        <v>3.57</v>
      </c>
    </row>
    <row r="20" spans="1:10" ht="13.5" thickBot="1" x14ac:dyDescent="0.25">
      <c r="A20" s="1366"/>
      <c r="B20" s="1367"/>
      <c r="C20" s="1367"/>
      <c r="D20" s="1367"/>
      <c r="E20" s="1367"/>
      <c r="F20" s="1367"/>
      <c r="G20" s="1367"/>
      <c r="H20" s="1367"/>
      <c r="I20" s="1367"/>
      <c r="J20" s="1368"/>
    </row>
    <row r="21" spans="1:10" x14ac:dyDescent="0.2">
      <c r="A21" s="199" t="s">
        <v>191</v>
      </c>
      <c r="B21" s="1349" t="s">
        <v>201</v>
      </c>
      <c r="C21" s="1350"/>
      <c r="D21" s="1350"/>
      <c r="E21" s="1350"/>
      <c r="F21" s="1351"/>
      <c r="G21" s="200" t="s">
        <v>187</v>
      </c>
      <c r="H21" s="201" t="s">
        <v>188</v>
      </c>
      <c r="I21" s="200" t="s">
        <v>189</v>
      </c>
      <c r="J21" s="202" t="s">
        <v>190</v>
      </c>
    </row>
    <row r="22" spans="1:10" x14ac:dyDescent="0.2">
      <c r="A22" s="203">
        <v>88316</v>
      </c>
      <c r="B22" s="1343" t="s">
        <v>301</v>
      </c>
      <c r="C22" s="1344"/>
      <c r="D22" s="1344"/>
      <c r="E22" s="1344"/>
      <c r="F22" s="1345"/>
      <c r="G22" s="37" t="s">
        <v>202</v>
      </c>
      <c r="H22" s="193">
        <v>5.3850000000000002E-2</v>
      </c>
      <c r="I22" s="192">
        <v>11.49</v>
      </c>
      <c r="J22" s="204">
        <f>ROUND((H22*I22),2)</f>
        <v>0.62</v>
      </c>
    </row>
    <row r="23" spans="1:10" ht="13.5" thickBot="1" x14ac:dyDescent="0.25">
      <c r="A23" s="205"/>
      <c r="B23" s="1346" t="s">
        <v>203</v>
      </c>
      <c r="C23" s="1347"/>
      <c r="D23" s="1347"/>
      <c r="E23" s="1347"/>
      <c r="F23" s="1348"/>
      <c r="G23" s="223"/>
      <c r="H23" s="207"/>
      <c r="I23" s="206"/>
      <c r="J23" s="208">
        <f>SUM(J22:J22)</f>
        <v>0.62</v>
      </c>
    </row>
    <row r="24" spans="1:10" ht="13.5" thickBot="1" x14ac:dyDescent="0.25">
      <c r="A24" s="1366"/>
      <c r="B24" s="1367"/>
      <c r="C24" s="1367"/>
      <c r="D24" s="1367"/>
      <c r="E24" s="1367"/>
      <c r="F24" s="1367"/>
      <c r="G24" s="1367"/>
      <c r="H24" s="1367"/>
      <c r="I24" s="1367"/>
      <c r="J24" s="1368"/>
    </row>
    <row r="25" spans="1:10" x14ac:dyDescent="0.2">
      <c r="A25" s="199" t="s">
        <v>191</v>
      </c>
      <c r="B25" s="1349" t="s">
        <v>204</v>
      </c>
      <c r="C25" s="1350"/>
      <c r="D25" s="1350"/>
      <c r="E25" s="1350"/>
      <c r="F25" s="1351"/>
      <c r="G25" s="200" t="s">
        <v>187</v>
      </c>
      <c r="H25" s="212" t="s">
        <v>188</v>
      </c>
      <c r="I25" s="211" t="s">
        <v>189</v>
      </c>
      <c r="J25" s="213" t="s">
        <v>190</v>
      </c>
    </row>
    <row r="26" spans="1:10" ht="29.25" customHeight="1" x14ac:dyDescent="0.2">
      <c r="A26" s="203">
        <v>505</v>
      </c>
      <c r="B26" s="1337" t="s">
        <v>205</v>
      </c>
      <c r="C26" s="1338"/>
      <c r="D26" s="1338"/>
      <c r="E26" s="1338"/>
      <c r="F26" s="1339"/>
      <c r="G26" s="37" t="s">
        <v>206</v>
      </c>
      <c r="H26" s="191"/>
      <c r="I26" s="192">
        <v>1.96</v>
      </c>
      <c r="J26" s="204">
        <f>ROUND((H26*I26),2)</f>
        <v>0</v>
      </c>
    </row>
    <row r="27" spans="1:10" ht="25.5" customHeight="1" x14ac:dyDescent="0.2">
      <c r="A27" s="214" t="s">
        <v>281</v>
      </c>
      <c r="B27" s="1337" t="s">
        <v>298</v>
      </c>
      <c r="C27" s="1338"/>
      <c r="D27" s="1338"/>
      <c r="E27" s="1338"/>
      <c r="F27" s="1339"/>
      <c r="G27" s="37" t="s">
        <v>207</v>
      </c>
      <c r="H27" s="191">
        <v>2.47E-2</v>
      </c>
      <c r="I27" s="194">
        <f>30*1.4</f>
        <v>42</v>
      </c>
      <c r="J27" s="204">
        <f>ROUND((H27*I27),2)</f>
        <v>1.04</v>
      </c>
    </row>
    <row r="28" spans="1:10" ht="13.5" thickBot="1" x14ac:dyDescent="0.25">
      <c r="A28" s="205"/>
      <c r="B28" s="1346" t="s">
        <v>208</v>
      </c>
      <c r="C28" s="1347"/>
      <c r="D28" s="1347"/>
      <c r="E28" s="1347"/>
      <c r="F28" s="1348"/>
      <c r="G28" s="223"/>
      <c r="H28" s="206"/>
      <c r="I28" s="206"/>
      <c r="J28" s="208">
        <f>SUM(J26:J27)</f>
        <v>1.04</v>
      </c>
    </row>
    <row r="29" spans="1:10" ht="13.5" thickBot="1" x14ac:dyDescent="0.25">
      <c r="A29" s="226"/>
      <c r="B29" s="215"/>
      <c r="C29" s="215"/>
      <c r="D29" s="215"/>
      <c r="E29" s="215"/>
      <c r="F29" s="215"/>
      <c r="G29" s="228"/>
      <c r="H29" s="215"/>
      <c r="I29" s="215"/>
      <c r="J29" s="227"/>
    </row>
    <row r="30" spans="1:10" x14ac:dyDescent="0.2">
      <c r="A30" s="216"/>
      <c r="B30" s="1349" t="s">
        <v>128</v>
      </c>
      <c r="C30" s="1350"/>
      <c r="D30" s="1350"/>
      <c r="E30" s="1350"/>
      <c r="F30" s="1351"/>
      <c r="G30" s="229"/>
      <c r="H30" s="217"/>
      <c r="I30" s="217"/>
      <c r="J30" s="218"/>
    </row>
    <row r="31" spans="1:10" x14ac:dyDescent="0.2">
      <c r="A31" s="219"/>
      <c r="B31" s="1360" t="s">
        <v>209</v>
      </c>
      <c r="C31" s="1361"/>
      <c r="D31" s="1361"/>
      <c r="E31" s="1361"/>
      <c r="F31" s="1362"/>
      <c r="G31" s="209"/>
      <c r="H31" s="210"/>
      <c r="I31" s="210"/>
      <c r="J31" s="220">
        <f>J19+J23+J28</f>
        <v>5.23</v>
      </c>
    </row>
    <row r="32" spans="1:10" x14ac:dyDescent="0.2">
      <c r="A32" s="221"/>
      <c r="B32" s="1360" t="s">
        <v>210</v>
      </c>
      <c r="C32" s="1361"/>
      <c r="D32" s="1361"/>
      <c r="E32" s="1361"/>
      <c r="F32" s="1362"/>
      <c r="G32" s="36"/>
      <c r="H32" s="190"/>
      <c r="I32" s="195">
        <v>0</v>
      </c>
      <c r="J32" s="222">
        <f>ROUND((J31*I32),2)</f>
        <v>0</v>
      </c>
    </row>
    <row r="33" spans="1:10" ht="13.5" thickBot="1" x14ac:dyDescent="0.25">
      <c r="A33" s="205"/>
      <c r="B33" s="1363" t="s">
        <v>211</v>
      </c>
      <c r="C33" s="1364"/>
      <c r="D33" s="1364"/>
      <c r="E33" s="1364"/>
      <c r="F33" s="1365"/>
      <c r="G33" s="223"/>
      <c r="H33" s="206"/>
      <c r="I33" s="206"/>
      <c r="J33" s="208">
        <f>J31+J32</f>
        <v>5.23</v>
      </c>
    </row>
    <row r="34" spans="1:10" ht="13.5" thickBot="1" x14ac:dyDescent="0.25">
      <c r="A34" s="196"/>
      <c r="B34" s="197"/>
      <c r="C34" s="197"/>
      <c r="D34" s="197"/>
      <c r="E34" s="197"/>
      <c r="F34" s="197"/>
      <c r="G34" s="196"/>
      <c r="H34" s="197"/>
      <c r="I34" s="197"/>
      <c r="J34" s="197"/>
    </row>
    <row r="35" spans="1:10" ht="15.75" customHeight="1" thickBot="1" x14ac:dyDescent="0.25">
      <c r="A35" s="1355" t="s">
        <v>185</v>
      </c>
      <c r="B35" s="1356"/>
      <c r="C35" s="1356"/>
      <c r="D35" s="1356"/>
      <c r="E35" s="1356"/>
      <c r="F35" s="1356"/>
      <c r="G35" s="1356"/>
      <c r="H35" s="1356"/>
      <c r="I35" s="1356"/>
      <c r="J35" s="1357"/>
    </row>
    <row r="36" spans="1:10" ht="18.75" customHeight="1" thickBot="1" x14ac:dyDescent="0.25">
      <c r="A36" s="231" t="s">
        <v>296</v>
      </c>
      <c r="B36" s="1358" t="s">
        <v>300</v>
      </c>
      <c r="C36" s="1358"/>
      <c r="D36" s="1358"/>
      <c r="E36" s="1358"/>
      <c r="F36" s="1358"/>
      <c r="G36" s="1358"/>
      <c r="H36" s="1358"/>
      <c r="I36" s="1358"/>
      <c r="J36" s="1359"/>
    </row>
    <row r="37" spans="1:10" x14ac:dyDescent="0.2">
      <c r="A37" s="199" t="s">
        <v>191</v>
      </c>
      <c r="B37" s="1349" t="s">
        <v>186</v>
      </c>
      <c r="C37" s="1350"/>
      <c r="D37" s="1350"/>
      <c r="E37" s="1350"/>
      <c r="F37" s="1351"/>
      <c r="G37" s="200" t="s">
        <v>187</v>
      </c>
      <c r="H37" s="200" t="s">
        <v>188</v>
      </c>
      <c r="I37" s="200" t="s">
        <v>189</v>
      </c>
      <c r="J37" s="202" t="s">
        <v>190</v>
      </c>
    </row>
    <row r="38" spans="1:10" ht="27" customHeight="1" x14ac:dyDescent="0.2">
      <c r="A38" s="224">
        <v>73353</v>
      </c>
      <c r="B38" s="1337" t="s">
        <v>212</v>
      </c>
      <c r="C38" s="1338"/>
      <c r="D38" s="1338"/>
      <c r="E38" s="1338"/>
      <c r="F38" s="1339"/>
      <c r="G38" s="37" t="s">
        <v>193</v>
      </c>
      <c r="H38" s="191">
        <v>5.3000000000000001E-5</v>
      </c>
      <c r="I38" s="192">
        <v>50.58</v>
      </c>
      <c r="J38" s="204">
        <f t="shared" ref="J38:J42" si="1">ROUND((H38*I38),2)</f>
        <v>0</v>
      </c>
    </row>
    <row r="39" spans="1:10" ht="27" customHeight="1" x14ac:dyDescent="0.2">
      <c r="A39" s="224">
        <v>73389</v>
      </c>
      <c r="B39" s="1337" t="s">
        <v>213</v>
      </c>
      <c r="C39" s="1338"/>
      <c r="D39" s="1338"/>
      <c r="E39" s="1338"/>
      <c r="F39" s="1339"/>
      <c r="G39" s="37" t="s">
        <v>193</v>
      </c>
      <c r="H39" s="191">
        <v>1.067E-3</v>
      </c>
      <c r="I39" s="192">
        <v>8.17</v>
      </c>
      <c r="J39" s="204">
        <f t="shared" si="1"/>
        <v>0.01</v>
      </c>
    </row>
    <row r="40" spans="1:10" ht="27" customHeight="1" x14ac:dyDescent="0.2">
      <c r="A40" s="224">
        <v>73453</v>
      </c>
      <c r="B40" s="1337" t="s">
        <v>214</v>
      </c>
      <c r="C40" s="1338"/>
      <c r="D40" s="1338"/>
      <c r="E40" s="1338"/>
      <c r="F40" s="1339"/>
      <c r="G40" s="37" t="s">
        <v>195</v>
      </c>
      <c r="H40" s="191">
        <v>1.067E-3</v>
      </c>
      <c r="I40" s="192">
        <v>58.94</v>
      </c>
      <c r="J40" s="204">
        <f t="shared" si="1"/>
        <v>0.06</v>
      </c>
    </row>
    <row r="41" spans="1:10" ht="27" customHeight="1" x14ac:dyDescent="0.2">
      <c r="A41" s="224">
        <v>73479</v>
      </c>
      <c r="B41" s="1337" t="s">
        <v>215</v>
      </c>
      <c r="C41" s="1338"/>
      <c r="D41" s="1338"/>
      <c r="E41" s="1338"/>
      <c r="F41" s="1339"/>
      <c r="G41" s="37" t="s">
        <v>193</v>
      </c>
      <c r="H41" s="191">
        <v>7.4700000000000005E-4</v>
      </c>
      <c r="I41" s="192">
        <v>194.32</v>
      </c>
      <c r="J41" s="204">
        <f t="shared" si="1"/>
        <v>0.15</v>
      </c>
    </row>
    <row r="42" spans="1:10" ht="27" customHeight="1" x14ac:dyDescent="0.2">
      <c r="A42" s="224">
        <v>73529</v>
      </c>
      <c r="B42" s="1337" t="s">
        <v>216</v>
      </c>
      <c r="C42" s="1338"/>
      <c r="D42" s="1338"/>
      <c r="E42" s="1338"/>
      <c r="F42" s="1339"/>
      <c r="G42" s="37" t="s">
        <v>198</v>
      </c>
      <c r="H42" s="191">
        <v>1.067E-3</v>
      </c>
      <c r="I42" s="192">
        <v>87.34</v>
      </c>
      <c r="J42" s="204">
        <f t="shared" si="1"/>
        <v>0.09</v>
      </c>
    </row>
    <row r="43" spans="1:10" ht="13.5" thickBot="1" x14ac:dyDescent="0.25">
      <c r="A43" s="205"/>
      <c r="B43" s="1346" t="s">
        <v>200</v>
      </c>
      <c r="C43" s="1347"/>
      <c r="D43" s="1347"/>
      <c r="E43" s="1347"/>
      <c r="F43" s="1348"/>
      <c r="G43" s="223"/>
      <c r="H43" s="207"/>
      <c r="I43" s="206"/>
      <c r="J43" s="208">
        <f>SUM(J38:J42)</f>
        <v>0.31</v>
      </c>
    </row>
    <row r="44" spans="1:10" ht="13.5" thickBot="1" x14ac:dyDescent="0.25">
      <c r="A44" s="1366"/>
      <c r="B44" s="1367"/>
      <c r="C44" s="1367"/>
      <c r="D44" s="1367"/>
      <c r="E44" s="1367"/>
      <c r="F44" s="1367"/>
      <c r="G44" s="1367"/>
      <c r="H44" s="1367"/>
      <c r="I44" s="1367"/>
      <c r="J44" s="1368"/>
    </row>
    <row r="45" spans="1:10" x14ac:dyDescent="0.2">
      <c r="A45" s="199" t="s">
        <v>191</v>
      </c>
      <c r="B45" s="1349" t="s">
        <v>201</v>
      </c>
      <c r="C45" s="1350"/>
      <c r="D45" s="1350"/>
      <c r="E45" s="1350"/>
      <c r="F45" s="1351"/>
      <c r="G45" s="200" t="s">
        <v>187</v>
      </c>
      <c r="H45" s="201" t="s">
        <v>188</v>
      </c>
      <c r="I45" s="200" t="s">
        <v>189</v>
      </c>
      <c r="J45" s="202" t="s">
        <v>190</v>
      </c>
    </row>
    <row r="46" spans="1:10" x14ac:dyDescent="0.2">
      <c r="A46" s="203">
        <v>88316</v>
      </c>
      <c r="B46" s="1343" t="s">
        <v>301</v>
      </c>
      <c r="C46" s="1344"/>
      <c r="D46" s="1344"/>
      <c r="E46" s="1344"/>
      <c r="F46" s="1345"/>
      <c r="G46" s="37" t="s">
        <v>198</v>
      </c>
      <c r="H46" s="193">
        <v>4.3E-3</v>
      </c>
      <c r="I46" s="192">
        <v>11.49</v>
      </c>
      <c r="J46" s="204">
        <f>ROUND((H46*I46),2)</f>
        <v>0.05</v>
      </c>
    </row>
    <row r="47" spans="1:10" ht="13.5" thickBot="1" x14ac:dyDescent="0.25">
      <c r="A47" s="205"/>
      <c r="B47" s="1346" t="s">
        <v>203</v>
      </c>
      <c r="C47" s="1347"/>
      <c r="D47" s="1347"/>
      <c r="E47" s="1347"/>
      <c r="F47" s="1348"/>
      <c r="G47" s="223"/>
      <c r="H47" s="207"/>
      <c r="I47" s="206"/>
      <c r="J47" s="208">
        <f>SUM(J46:J46)</f>
        <v>0.05</v>
      </c>
    </row>
    <row r="48" spans="1:10" ht="13.5" thickBot="1" x14ac:dyDescent="0.25">
      <c r="A48" s="1366"/>
      <c r="B48" s="1367"/>
      <c r="C48" s="1367"/>
      <c r="D48" s="1367"/>
      <c r="E48" s="1367"/>
      <c r="F48" s="1367"/>
      <c r="G48" s="1367"/>
      <c r="H48" s="1367"/>
      <c r="I48" s="1367"/>
      <c r="J48" s="1368"/>
    </row>
    <row r="49" spans="1:10" x14ac:dyDescent="0.2">
      <c r="A49" s="199" t="s">
        <v>191</v>
      </c>
      <c r="B49" s="1349" t="s">
        <v>204</v>
      </c>
      <c r="C49" s="1350"/>
      <c r="D49" s="1350"/>
      <c r="E49" s="1350"/>
      <c r="F49" s="1351"/>
      <c r="G49" s="200" t="s">
        <v>187</v>
      </c>
      <c r="H49" s="212" t="s">
        <v>188</v>
      </c>
      <c r="I49" s="211" t="s">
        <v>189</v>
      </c>
      <c r="J49" s="213" t="s">
        <v>190</v>
      </c>
    </row>
    <row r="50" spans="1:10" ht="26.25" customHeight="1" x14ac:dyDescent="0.2">
      <c r="A50" s="203">
        <v>505</v>
      </c>
      <c r="B50" s="1337" t="s">
        <v>205</v>
      </c>
      <c r="C50" s="1338"/>
      <c r="D50" s="1338"/>
      <c r="E50" s="1338"/>
      <c r="F50" s="1339"/>
      <c r="G50" s="37" t="s">
        <v>206</v>
      </c>
      <c r="H50" s="191"/>
      <c r="I50" s="192">
        <v>1.96</v>
      </c>
      <c r="J50" s="204">
        <f>ROUND((H50*I50),2)</f>
        <v>0</v>
      </c>
    </row>
    <row r="51" spans="1:10" ht="24.75" customHeight="1" x14ac:dyDescent="0.2">
      <c r="A51" s="214" t="s">
        <v>281</v>
      </c>
      <c r="B51" s="1337" t="s">
        <v>299</v>
      </c>
      <c r="C51" s="1338"/>
      <c r="D51" s="1338"/>
      <c r="E51" s="1338"/>
      <c r="F51" s="1339"/>
      <c r="G51" s="37" t="s">
        <v>207</v>
      </c>
      <c r="H51" s="191">
        <v>7.1999999999999998E-3</v>
      </c>
      <c r="I51" s="194">
        <f>30*1.4</f>
        <v>42</v>
      </c>
      <c r="J51" s="204">
        <f>ROUND((H51*I51),2)</f>
        <v>0.3</v>
      </c>
    </row>
    <row r="52" spans="1:10" ht="13.5" thickBot="1" x14ac:dyDescent="0.25">
      <c r="A52" s="205"/>
      <c r="B52" s="1346" t="s">
        <v>208</v>
      </c>
      <c r="C52" s="1347"/>
      <c r="D52" s="1347"/>
      <c r="E52" s="1347"/>
      <c r="F52" s="1348"/>
      <c r="G52" s="223"/>
      <c r="H52" s="206"/>
      <c r="I52" s="206"/>
      <c r="J52" s="208">
        <f>SUM(J50:J51)</f>
        <v>0.3</v>
      </c>
    </row>
    <row r="53" spans="1:10" ht="13.5" thickBot="1" x14ac:dyDescent="0.25">
      <c r="A53" s="226"/>
      <c r="B53" s="215"/>
      <c r="C53" s="215"/>
      <c r="D53" s="215"/>
      <c r="E53" s="215"/>
      <c r="F53" s="215"/>
      <c r="G53" s="228"/>
      <c r="H53" s="215"/>
      <c r="I53" s="215"/>
      <c r="J53" s="227"/>
    </row>
    <row r="54" spans="1:10" x14ac:dyDescent="0.2">
      <c r="A54" s="216"/>
      <c r="B54" s="1349" t="s">
        <v>128</v>
      </c>
      <c r="C54" s="1350"/>
      <c r="D54" s="1350"/>
      <c r="E54" s="1350"/>
      <c r="F54" s="1351"/>
      <c r="G54" s="229"/>
      <c r="H54" s="217"/>
      <c r="I54" s="217"/>
      <c r="J54" s="218"/>
    </row>
    <row r="55" spans="1:10" x14ac:dyDescent="0.2">
      <c r="A55" s="219"/>
      <c r="B55" s="1360" t="s">
        <v>209</v>
      </c>
      <c r="C55" s="1361"/>
      <c r="D55" s="1361"/>
      <c r="E55" s="1361"/>
      <c r="F55" s="1362"/>
      <c r="G55" s="209"/>
      <c r="H55" s="210"/>
      <c r="I55" s="210"/>
      <c r="J55" s="220">
        <f>J43+J47+J52</f>
        <v>0.66</v>
      </c>
    </row>
    <row r="56" spans="1:10" x14ac:dyDescent="0.2">
      <c r="A56" s="221"/>
      <c r="B56" s="1360" t="s">
        <v>210</v>
      </c>
      <c r="C56" s="1361"/>
      <c r="D56" s="1361"/>
      <c r="E56" s="1361"/>
      <c r="F56" s="1362"/>
      <c r="G56" s="36"/>
      <c r="H56" s="190"/>
      <c r="I56" s="195">
        <v>0</v>
      </c>
      <c r="J56" s="222">
        <f>ROUND((J55*I56),2)</f>
        <v>0</v>
      </c>
    </row>
    <row r="57" spans="1:10" ht="13.5" thickBot="1" x14ac:dyDescent="0.25">
      <c r="A57" s="205"/>
      <c r="B57" s="1363" t="s">
        <v>211</v>
      </c>
      <c r="C57" s="1364"/>
      <c r="D57" s="1364"/>
      <c r="E57" s="1364"/>
      <c r="F57" s="1365"/>
      <c r="G57" s="223"/>
      <c r="H57" s="206"/>
      <c r="I57" s="206"/>
      <c r="J57" s="208">
        <f>J55+J56</f>
        <v>0.66</v>
      </c>
    </row>
    <row r="58" spans="1:10" x14ac:dyDescent="0.2">
      <c r="A58" s="196"/>
      <c r="B58" s="197"/>
      <c r="C58" s="197"/>
      <c r="D58" s="197"/>
      <c r="E58" s="197"/>
      <c r="F58" s="197"/>
      <c r="G58" s="196"/>
      <c r="H58" s="197"/>
      <c r="I58" s="197"/>
      <c r="J58" s="197"/>
    </row>
    <row r="59" spans="1:10" x14ac:dyDescent="0.2">
      <c r="A59" s="196"/>
      <c r="B59" s="197"/>
      <c r="C59" s="197"/>
      <c r="D59" s="197"/>
      <c r="E59" s="197"/>
      <c r="F59" s="197"/>
      <c r="G59" s="196"/>
      <c r="H59" s="197"/>
      <c r="I59" s="197"/>
      <c r="J59" s="197"/>
    </row>
    <row r="60" spans="1:10" x14ac:dyDescent="0.2">
      <c r="A60" s="196"/>
      <c r="B60" s="197"/>
      <c r="C60" s="197"/>
      <c r="D60" s="197"/>
      <c r="E60" s="197"/>
      <c r="F60" s="197"/>
      <c r="G60" s="196"/>
      <c r="H60" s="197"/>
      <c r="I60" s="197"/>
      <c r="J60" s="197"/>
    </row>
    <row r="61" spans="1:10" x14ac:dyDescent="0.2">
      <c r="A61" s="196"/>
      <c r="B61" s="197"/>
      <c r="C61" s="197"/>
      <c r="D61" s="197"/>
      <c r="E61" s="197"/>
      <c r="F61" s="197"/>
      <c r="G61" s="196"/>
      <c r="H61" s="197"/>
      <c r="I61" s="197"/>
      <c r="J61" s="197"/>
    </row>
    <row r="62" spans="1:10" x14ac:dyDescent="0.2">
      <c r="A62" s="196"/>
      <c r="B62" s="197"/>
      <c r="C62" s="197"/>
      <c r="D62" s="197"/>
      <c r="E62" s="197"/>
      <c r="F62" s="197"/>
      <c r="G62" s="196"/>
      <c r="H62" s="197"/>
      <c r="I62" s="197"/>
      <c r="J62" s="197"/>
    </row>
    <row r="63" spans="1:10" x14ac:dyDescent="0.2">
      <c r="A63" s="196"/>
      <c r="B63" s="197"/>
      <c r="C63" s="197"/>
      <c r="D63" s="197"/>
      <c r="E63" s="197"/>
      <c r="F63" s="197"/>
      <c r="G63" s="196"/>
      <c r="H63" s="197"/>
      <c r="I63" s="197"/>
      <c r="J63" s="197"/>
    </row>
    <row r="64" spans="1:10" x14ac:dyDescent="0.2">
      <c r="A64" s="196"/>
      <c r="B64" s="197"/>
      <c r="C64" s="197"/>
      <c r="D64" s="197"/>
      <c r="E64" s="197"/>
      <c r="F64" s="197"/>
      <c r="G64" s="196"/>
      <c r="H64" s="197"/>
      <c r="I64" s="197"/>
      <c r="J64" s="197"/>
    </row>
    <row r="65" spans="1:10" x14ac:dyDescent="0.2">
      <c r="A65" s="196"/>
      <c r="B65" s="196"/>
      <c r="C65" s="196"/>
      <c r="D65" s="196"/>
      <c r="E65" s="196"/>
      <c r="F65" s="196"/>
      <c r="G65" s="196"/>
      <c r="H65" s="197"/>
      <c r="I65" s="197"/>
      <c r="J65" s="197"/>
    </row>
    <row r="66" spans="1:10" x14ac:dyDescent="0.2">
      <c r="A66" s="196"/>
      <c r="B66" s="198" t="str">
        <f>Terrap.!B28</f>
        <v>ROBSON DARCIO SOUSA</v>
      </c>
      <c r="C66" s="198"/>
      <c r="D66" s="198"/>
      <c r="E66" s="198"/>
      <c r="F66" s="198"/>
      <c r="G66" s="196"/>
      <c r="H66" s="197"/>
      <c r="I66" s="197"/>
      <c r="J66" s="197"/>
    </row>
    <row r="67" spans="1:10" x14ac:dyDescent="0.2">
      <c r="A67" s="196"/>
      <c r="B67" s="196" t="str">
        <f>Terrap.!B29</f>
        <v>ENGº CIVIL CREA: 120.263.916-0</v>
      </c>
      <c r="C67" s="196"/>
      <c r="D67" s="196"/>
      <c r="E67" s="196"/>
      <c r="F67" s="196"/>
      <c r="G67" s="196"/>
      <c r="H67" s="197"/>
      <c r="I67" s="197"/>
      <c r="J67" s="197"/>
    </row>
  </sheetData>
  <mergeCells count="53">
    <mergeCell ref="B52:F52"/>
    <mergeCell ref="B54:F54"/>
    <mergeCell ref="B55:F55"/>
    <mergeCell ref="B56:F56"/>
    <mergeCell ref="B57:F57"/>
    <mergeCell ref="B47:F47"/>
    <mergeCell ref="A48:J48"/>
    <mergeCell ref="B49:F49"/>
    <mergeCell ref="B50:F50"/>
    <mergeCell ref="B51:F51"/>
    <mergeCell ref="B43:F43"/>
    <mergeCell ref="A44:J44"/>
    <mergeCell ref="B45:F45"/>
    <mergeCell ref="B46:F46"/>
    <mergeCell ref="B38:F38"/>
    <mergeCell ref="B39:F39"/>
    <mergeCell ref="B40:F40"/>
    <mergeCell ref="B41:F41"/>
    <mergeCell ref="B42:F42"/>
    <mergeCell ref="A8:J8"/>
    <mergeCell ref="A10:J10"/>
    <mergeCell ref="B28:F28"/>
    <mergeCell ref="A35:J35"/>
    <mergeCell ref="B37:F37"/>
    <mergeCell ref="B11:J11"/>
    <mergeCell ref="B36:J36"/>
    <mergeCell ref="B27:F27"/>
    <mergeCell ref="B30:F30"/>
    <mergeCell ref="B31:F31"/>
    <mergeCell ref="B32:F32"/>
    <mergeCell ref="B33:F33"/>
    <mergeCell ref="B23:F23"/>
    <mergeCell ref="A20:J20"/>
    <mergeCell ref="A24:J24"/>
    <mergeCell ref="B25:F25"/>
    <mergeCell ref="B26:F26"/>
    <mergeCell ref="B18:F18"/>
    <mergeCell ref="B12:F12"/>
    <mergeCell ref="B22:F22"/>
    <mergeCell ref="B19:F19"/>
    <mergeCell ref="B21:F21"/>
    <mergeCell ref="B13:F13"/>
    <mergeCell ref="B14:F14"/>
    <mergeCell ref="B15:F15"/>
    <mergeCell ref="B16:F16"/>
    <mergeCell ref="B17:F17"/>
    <mergeCell ref="A1:J1"/>
    <mergeCell ref="A2:J2"/>
    <mergeCell ref="B4:J4"/>
    <mergeCell ref="B5:J5"/>
    <mergeCell ref="B6:H6"/>
    <mergeCell ref="I6:J7"/>
    <mergeCell ref="F7:G7"/>
  </mergeCells>
  <printOptions horizontalCentered="1"/>
  <pageMargins left="0.98425196850393704" right="0.39370078740157483" top="0.39370078740157483" bottom="0.3937007874015748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9"/>
  <sheetViews>
    <sheetView view="pageBreakPreview" topLeftCell="A50" zoomScaleNormal="85" zoomScaleSheetLayoutView="100" workbookViewId="0">
      <selection activeCell="H52" sqref="H52"/>
    </sheetView>
  </sheetViews>
  <sheetFormatPr defaultRowHeight="12.75" x14ac:dyDescent="0.2"/>
  <cols>
    <col min="1" max="1" width="10.7109375" style="109" customWidth="1"/>
    <col min="2" max="2" width="66.7109375" style="109" customWidth="1"/>
    <col min="3" max="3" width="15.140625" style="109" bestFit="1" customWidth="1"/>
    <col min="4" max="4" width="30.7109375" style="232" customWidth="1"/>
    <col min="5" max="5" width="14.140625" style="255" customWidth="1"/>
    <col min="6" max="6" width="13.42578125" style="109" bestFit="1" customWidth="1"/>
    <col min="7" max="7" width="19.5703125" style="109" bestFit="1" customWidth="1"/>
    <col min="8" max="8" width="9.28515625" style="109" bestFit="1" customWidth="1"/>
    <col min="9" max="9" width="13.5703125" style="109" customWidth="1"/>
    <col min="10" max="10" width="15.140625" style="109" bestFit="1" customWidth="1"/>
    <col min="11" max="11" width="10.5703125" style="109" bestFit="1" customWidth="1"/>
    <col min="12" max="16384" width="9.140625" style="109"/>
  </cols>
  <sheetData>
    <row r="1" spans="1:16" s="246" customFormat="1" ht="48" customHeight="1" x14ac:dyDescent="0.2">
      <c r="A1" s="1183" t="s">
        <v>556</v>
      </c>
      <c r="B1" s="1184"/>
      <c r="C1" s="1369" t="s">
        <v>54</v>
      </c>
      <c r="D1" s="1369"/>
      <c r="E1" s="1370"/>
      <c r="F1" s="20"/>
      <c r="G1" s="20"/>
      <c r="H1" s="20"/>
      <c r="I1" s="20"/>
      <c r="J1" s="20"/>
      <c r="K1" s="20"/>
    </row>
    <row r="2" spans="1:16" s="246" customFormat="1" ht="48" customHeight="1" x14ac:dyDescent="0.2">
      <c r="A2" s="1185"/>
      <c r="B2" s="1186"/>
      <c r="C2" s="1371" t="s">
        <v>630</v>
      </c>
      <c r="D2" s="1371"/>
      <c r="E2" s="1372"/>
      <c r="F2" s="21"/>
      <c r="G2" s="21"/>
      <c r="H2" s="21"/>
      <c r="I2" s="21"/>
      <c r="J2" s="21"/>
      <c r="K2" s="21"/>
      <c r="L2" s="233"/>
      <c r="M2" s="233"/>
      <c r="N2" s="233"/>
      <c r="O2" s="233"/>
    </row>
    <row r="3" spans="1:16" s="246" customFormat="1" ht="20.25" customHeight="1" x14ac:dyDescent="0.2">
      <c r="A3" s="428" t="s">
        <v>8</v>
      </c>
      <c r="B3" s="426" t="s">
        <v>663</v>
      </c>
      <c r="C3" s="426"/>
      <c r="D3" s="480" t="s">
        <v>60</v>
      </c>
      <c r="E3" s="259" t="s">
        <v>59</v>
      </c>
      <c r="F3" s="5"/>
      <c r="G3" s="5"/>
      <c r="H3" s="5"/>
      <c r="I3" s="5"/>
      <c r="J3" s="5"/>
      <c r="K3" s="17"/>
      <c r="L3" s="7"/>
      <c r="M3" s="7"/>
      <c r="N3" s="7"/>
      <c r="O3" s="7"/>
    </row>
    <row r="4" spans="1:16" s="246" customFormat="1" ht="20.25" customHeight="1" x14ac:dyDescent="0.2">
      <c r="A4" s="428" t="s">
        <v>22</v>
      </c>
      <c r="B4" s="426" t="s">
        <v>629</v>
      </c>
      <c r="C4" s="480" t="s">
        <v>374</v>
      </c>
      <c r="D4" s="991" t="s">
        <v>703</v>
      </c>
      <c r="E4" s="1379">
        <v>0.20699999999999999</v>
      </c>
      <c r="F4" s="5"/>
      <c r="G4" s="1377"/>
      <c r="H4" s="1377"/>
      <c r="I4" s="1378"/>
      <c r="J4" s="1378"/>
      <c r="K4" s="18"/>
      <c r="L4" s="7"/>
      <c r="M4" s="1373"/>
      <c r="N4" s="1373"/>
      <c r="O4" s="1373"/>
      <c r="P4" s="1373"/>
    </row>
    <row r="5" spans="1:16" s="246" customFormat="1" ht="20.25" customHeight="1" x14ac:dyDescent="0.2">
      <c r="A5" s="429" t="s">
        <v>57</v>
      </c>
      <c r="B5" s="426" t="s">
        <v>630</v>
      </c>
      <c r="C5" s="1381" t="s">
        <v>701</v>
      </c>
      <c r="D5" s="991"/>
      <c r="E5" s="1379"/>
      <c r="F5" s="5"/>
      <c r="G5" s="1377"/>
      <c r="H5" s="1377"/>
      <c r="I5" s="1378"/>
      <c r="J5" s="1378"/>
      <c r="K5" s="18"/>
      <c r="L5" s="7"/>
      <c r="M5" s="1373"/>
      <c r="N5" s="1373"/>
      <c r="O5" s="1373"/>
      <c r="P5" s="1373"/>
    </row>
    <row r="6" spans="1:16" s="246" customFormat="1" ht="20.25" customHeight="1" thickBot="1" x14ac:dyDescent="0.25">
      <c r="A6" s="430" t="s">
        <v>43</v>
      </c>
      <c r="B6" s="427">
        <v>41980.480000000003</v>
      </c>
      <c r="C6" s="1382"/>
      <c r="D6" s="993"/>
      <c r="E6" s="1380"/>
      <c r="F6" s="5"/>
      <c r="G6" s="5"/>
      <c r="H6" s="5"/>
      <c r="I6" s="12"/>
      <c r="J6" s="12"/>
      <c r="K6" s="17"/>
      <c r="L6" s="7"/>
      <c r="M6" s="1373"/>
      <c r="N6" s="1373"/>
      <c r="O6" s="1373"/>
      <c r="P6" s="1373"/>
    </row>
    <row r="7" spans="1:16" s="246" customFormat="1" ht="27.75" thickBot="1" x14ac:dyDescent="0.25">
      <c r="A7" s="1374" t="s">
        <v>73</v>
      </c>
      <c r="B7" s="1375"/>
      <c r="C7" s="1375"/>
      <c r="D7" s="1375"/>
      <c r="E7" s="1376"/>
      <c r="F7" s="247"/>
      <c r="G7" s="247"/>
      <c r="H7" s="247"/>
      <c r="I7" s="247"/>
      <c r="J7" s="247"/>
      <c r="K7" s="247"/>
      <c r="L7" s="7"/>
    </row>
    <row r="8" spans="1:16" s="246" customFormat="1" ht="27" x14ac:dyDescent="0.2">
      <c r="A8" s="596" t="s">
        <v>0</v>
      </c>
      <c r="B8" s="597" t="s">
        <v>273</v>
      </c>
      <c r="C8" s="598" t="s">
        <v>274</v>
      </c>
      <c r="D8" s="598" t="s">
        <v>275</v>
      </c>
      <c r="E8" s="599" t="s">
        <v>253</v>
      </c>
      <c r="F8" s="247"/>
      <c r="G8" s="247"/>
      <c r="H8" s="247"/>
      <c r="I8" s="247"/>
      <c r="J8" s="247"/>
      <c r="K8" s="247"/>
      <c r="L8" s="7"/>
    </row>
    <row r="9" spans="1:16" s="246" customFormat="1" ht="20.25" customHeight="1" x14ac:dyDescent="0.2">
      <c r="A9" s="499">
        <v>1</v>
      </c>
      <c r="B9" s="516" t="s">
        <v>103</v>
      </c>
      <c r="C9" s="539"/>
      <c r="D9" s="539"/>
      <c r="E9" s="600"/>
      <c r="F9" s="247"/>
      <c r="G9" s="247"/>
      <c r="H9" s="247"/>
      <c r="I9" s="247"/>
      <c r="J9" s="247"/>
      <c r="K9" s="247"/>
      <c r="L9" s="7"/>
    </row>
    <row r="10" spans="1:16" s="246" customFormat="1" ht="45" x14ac:dyDescent="0.2">
      <c r="A10" s="706" t="s">
        <v>23</v>
      </c>
      <c r="B10" s="509" t="s">
        <v>417</v>
      </c>
      <c r="C10" s="900" t="s">
        <v>516</v>
      </c>
      <c r="D10" s="900" t="s">
        <v>555</v>
      </c>
      <c r="E10" s="601">
        <v>30</v>
      </c>
      <c r="F10" s="247"/>
      <c r="G10" s="247"/>
      <c r="H10" s="247"/>
      <c r="I10" s="247"/>
      <c r="J10" s="247"/>
      <c r="K10" s="247"/>
      <c r="L10" s="7"/>
    </row>
    <row r="11" spans="1:16" s="246" customFormat="1" ht="45" x14ac:dyDescent="0.2">
      <c r="A11" s="706" t="s">
        <v>44</v>
      </c>
      <c r="B11" s="509" t="s">
        <v>418</v>
      </c>
      <c r="C11" s="900" t="s">
        <v>516</v>
      </c>
      <c r="D11" s="900" t="s">
        <v>419</v>
      </c>
      <c r="E11" s="601">
        <v>7.5</v>
      </c>
      <c r="F11" s="247"/>
      <c r="G11" s="247"/>
      <c r="H11" s="247"/>
      <c r="I11" s="247"/>
      <c r="J11" s="247"/>
      <c r="K11" s="247"/>
      <c r="L11" s="7"/>
    </row>
    <row r="12" spans="1:16" s="246" customFormat="1" ht="30" x14ac:dyDescent="0.2">
      <c r="A12" s="706" t="s">
        <v>45</v>
      </c>
      <c r="B12" s="509" t="s">
        <v>101</v>
      </c>
      <c r="C12" s="900" t="s">
        <v>516</v>
      </c>
      <c r="D12" s="801" t="s">
        <v>497</v>
      </c>
      <c r="E12" s="601">
        <v>25</v>
      </c>
      <c r="F12" s="247"/>
      <c r="G12" s="247"/>
      <c r="H12" s="247"/>
      <c r="I12" s="247"/>
      <c r="J12" s="247"/>
      <c r="K12" s="247"/>
      <c r="L12" s="7"/>
    </row>
    <row r="13" spans="1:16" s="246" customFormat="1" ht="27" x14ac:dyDescent="0.2">
      <c r="A13" s="499">
        <v>2</v>
      </c>
      <c r="B13" s="516" t="s">
        <v>553</v>
      </c>
      <c r="C13" s="539"/>
      <c r="D13" s="539"/>
      <c r="E13" s="789"/>
      <c r="F13" s="247"/>
      <c r="G13" s="247"/>
      <c r="H13" s="247"/>
      <c r="I13" s="247"/>
      <c r="J13" s="247"/>
      <c r="K13" s="247"/>
      <c r="L13" s="7"/>
    </row>
    <row r="14" spans="1:16" s="246" customFormat="1" ht="27" x14ac:dyDescent="0.2">
      <c r="A14" s="706" t="s">
        <v>24</v>
      </c>
      <c r="B14" s="602" t="s">
        <v>625</v>
      </c>
      <c r="C14" s="900" t="s">
        <v>48</v>
      </c>
      <c r="D14" s="900" t="s">
        <v>513</v>
      </c>
      <c r="E14" s="601">
        <v>1</v>
      </c>
      <c r="F14" s="781">
        <v>4.7300000000000002E-2</v>
      </c>
      <c r="G14" s="247"/>
      <c r="H14" s="247"/>
      <c r="I14" s="247"/>
      <c r="J14" s="247"/>
      <c r="K14" s="247"/>
      <c r="L14" s="7"/>
    </row>
    <row r="15" spans="1:16" s="246" customFormat="1" ht="20.25" customHeight="1" x14ac:dyDescent="0.2">
      <c r="A15" s="499">
        <v>3</v>
      </c>
      <c r="B15" s="516" t="s">
        <v>49</v>
      </c>
      <c r="C15" s="539"/>
      <c r="D15" s="539"/>
      <c r="E15" s="790"/>
      <c r="F15" s="247"/>
      <c r="G15" s="247"/>
      <c r="H15" s="247"/>
      <c r="I15" s="247"/>
      <c r="J15" s="247"/>
      <c r="K15" s="247"/>
      <c r="L15" s="7"/>
    </row>
    <row r="16" spans="1:16" s="246" customFormat="1" ht="15" x14ac:dyDescent="0.2">
      <c r="A16" s="511" t="s">
        <v>25</v>
      </c>
      <c r="B16" s="519" t="s">
        <v>30</v>
      </c>
      <c r="C16" s="520"/>
      <c r="D16" s="520"/>
      <c r="E16" s="791"/>
      <c r="F16" s="7"/>
    </row>
    <row r="17" spans="1:6" s="246" customFormat="1" ht="30" x14ac:dyDescent="0.2">
      <c r="A17" s="505" t="s">
        <v>38</v>
      </c>
      <c r="B17" s="524" t="s">
        <v>102</v>
      </c>
      <c r="C17" s="510" t="s">
        <v>518</v>
      </c>
      <c r="D17" s="603" t="s">
        <v>144</v>
      </c>
      <c r="E17" s="792">
        <v>3027</v>
      </c>
      <c r="F17" s="7"/>
    </row>
    <row r="18" spans="1:6" s="246" customFormat="1" ht="15" x14ac:dyDescent="0.2">
      <c r="A18" s="511" t="s">
        <v>26</v>
      </c>
      <c r="B18" s="527" t="s">
        <v>132</v>
      </c>
      <c r="C18" s="520"/>
      <c r="D18" s="604"/>
      <c r="E18" s="791"/>
      <c r="F18" s="7"/>
    </row>
    <row r="19" spans="1:6" s="246" customFormat="1" ht="75" x14ac:dyDescent="0.2">
      <c r="A19" s="505" t="s">
        <v>152</v>
      </c>
      <c r="B19" s="535" t="s">
        <v>480</v>
      </c>
      <c r="C19" s="510" t="s">
        <v>517</v>
      </c>
      <c r="D19" s="603" t="s">
        <v>142</v>
      </c>
      <c r="E19" s="792">
        <v>6498.6</v>
      </c>
      <c r="F19" s="248"/>
    </row>
    <row r="20" spans="1:6" s="246" customFormat="1" ht="90" x14ac:dyDescent="0.2">
      <c r="A20" s="505" t="s">
        <v>153</v>
      </c>
      <c r="B20" s="535" t="s">
        <v>481</v>
      </c>
      <c r="C20" s="510" t="s">
        <v>517</v>
      </c>
      <c r="D20" s="603" t="s">
        <v>142</v>
      </c>
      <c r="E20" s="792">
        <v>1102.6500000000001</v>
      </c>
      <c r="F20" s="248"/>
    </row>
    <row r="21" spans="1:6" s="246" customFormat="1" ht="60" x14ac:dyDescent="0.2">
      <c r="A21" s="505" t="s">
        <v>154</v>
      </c>
      <c r="B21" s="535" t="s">
        <v>486</v>
      </c>
      <c r="C21" s="510" t="s">
        <v>516</v>
      </c>
      <c r="D21" s="603" t="s">
        <v>142</v>
      </c>
      <c r="E21" s="792">
        <v>893.49</v>
      </c>
      <c r="F21" s="248"/>
    </row>
    <row r="22" spans="1:6" s="246" customFormat="1" ht="60" x14ac:dyDescent="0.2">
      <c r="A22" s="505" t="s">
        <v>155</v>
      </c>
      <c r="B22" s="535" t="s">
        <v>482</v>
      </c>
      <c r="C22" s="510" t="s">
        <v>517</v>
      </c>
      <c r="D22" s="603" t="s">
        <v>142</v>
      </c>
      <c r="E22" s="792">
        <v>374.32</v>
      </c>
      <c r="F22" s="248"/>
    </row>
    <row r="23" spans="1:6" s="246" customFormat="1" ht="90" x14ac:dyDescent="0.2">
      <c r="A23" s="505" t="s">
        <v>343</v>
      </c>
      <c r="B23" s="535" t="s">
        <v>429</v>
      </c>
      <c r="C23" s="510" t="s">
        <v>517</v>
      </c>
      <c r="D23" s="603" t="s">
        <v>142</v>
      </c>
      <c r="E23" s="792">
        <v>5469.14</v>
      </c>
      <c r="F23" s="248"/>
    </row>
    <row r="24" spans="1:6" s="246" customFormat="1" ht="90" x14ac:dyDescent="0.2">
      <c r="A24" s="505" t="s">
        <v>388</v>
      </c>
      <c r="B24" s="535" t="s">
        <v>430</v>
      </c>
      <c r="C24" s="510" t="s">
        <v>517</v>
      </c>
      <c r="D24" s="603" t="s">
        <v>142</v>
      </c>
      <c r="E24" s="792">
        <v>1048.1300000000001</v>
      </c>
      <c r="F24" s="248"/>
    </row>
    <row r="25" spans="1:6" s="246" customFormat="1" ht="15" x14ac:dyDescent="0.2">
      <c r="A25" s="511" t="s">
        <v>27</v>
      </c>
      <c r="B25" s="898" t="s">
        <v>133</v>
      </c>
      <c r="C25" s="520"/>
      <c r="D25" s="604"/>
      <c r="E25" s="791"/>
      <c r="F25" s="248"/>
    </row>
    <row r="26" spans="1:6" s="246" customFormat="1" ht="60" x14ac:dyDescent="0.2">
      <c r="A26" s="505" t="s">
        <v>39</v>
      </c>
      <c r="B26" s="535" t="s">
        <v>692</v>
      </c>
      <c r="C26" s="510" t="s">
        <v>518</v>
      </c>
      <c r="D26" s="603" t="s">
        <v>142</v>
      </c>
      <c r="E26" s="792">
        <v>824</v>
      </c>
      <c r="F26" s="248"/>
    </row>
    <row r="27" spans="1:6" s="246" customFormat="1" ht="60" x14ac:dyDescent="0.2">
      <c r="A27" s="505" t="s">
        <v>156</v>
      </c>
      <c r="B27" s="535" t="s">
        <v>691</v>
      </c>
      <c r="C27" s="510" t="s">
        <v>518</v>
      </c>
      <c r="D27" s="603" t="s">
        <v>142</v>
      </c>
      <c r="E27" s="792">
        <v>825</v>
      </c>
      <c r="F27" s="248"/>
    </row>
    <row r="28" spans="1:6" s="246" customFormat="1" ht="60" x14ac:dyDescent="0.2">
      <c r="A28" s="505" t="s">
        <v>249</v>
      </c>
      <c r="B28" s="535" t="s">
        <v>690</v>
      </c>
      <c r="C28" s="510" t="s">
        <v>518</v>
      </c>
      <c r="D28" s="603" t="s">
        <v>142</v>
      </c>
      <c r="E28" s="792">
        <v>1378</v>
      </c>
      <c r="F28" s="248"/>
    </row>
    <row r="29" spans="1:6" s="246" customFormat="1" ht="60" hidden="1" x14ac:dyDescent="0.2">
      <c r="A29" s="505" t="s">
        <v>648</v>
      </c>
      <c r="B29" s="535" t="s">
        <v>431</v>
      </c>
      <c r="C29" s="510" t="s">
        <v>518</v>
      </c>
      <c r="D29" s="603" t="s">
        <v>142</v>
      </c>
      <c r="E29" s="792">
        <v>0</v>
      </c>
      <c r="F29" s="248"/>
    </row>
    <row r="30" spans="1:6" s="246" customFormat="1" ht="15" x14ac:dyDescent="0.2">
      <c r="A30" s="511" t="s">
        <v>28</v>
      </c>
      <c r="B30" s="898" t="s">
        <v>50</v>
      </c>
      <c r="C30" s="520"/>
      <c r="D30" s="604"/>
      <c r="E30" s="791"/>
      <c r="F30" s="7"/>
    </row>
    <row r="31" spans="1:6" s="246" customFormat="1" ht="75" x14ac:dyDescent="0.2">
      <c r="A31" s="505" t="s">
        <v>40</v>
      </c>
      <c r="B31" s="535" t="s">
        <v>649</v>
      </c>
      <c r="C31" s="510" t="s">
        <v>48</v>
      </c>
      <c r="D31" s="603" t="s">
        <v>142</v>
      </c>
      <c r="E31" s="792">
        <v>24</v>
      </c>
      <c r="F31" s="7"/>
    </row>
    <row r="32" spans="1:6" s="246" customFormat="1" ht="75" x14ac:dyDescent="0.2">
      <c r="A32" s="505" t="s">
        <v>157</v>
      </c>
      <c r="B32" s="535" t="s">
        <v>650</v>
      </c>
      <c r="C32" s="510" t="s">
        <v>48</v>
      </c>
      <c r="D32" s="603" t="s">
        <v>147</v>
      </c>
      <c r="E32" s="792">
        <v>9</v>
      </c>
      <c r="F32" s="7"/>
    </row>
    <row r="33" spans="1:8" s="246" customFormat="1" ht="45" x14ac:dyDescent="0.2">
      <c r="A33" s="505" t="s">
        <v>158</v>
      </c>
      <c r="B33" s="535" t="s">
        <v>483</v>
      </c>
      <c r="C33" s="510" t="s">
        <v>48</v>
      </c>
      <c r="D33" s="603" t="s">
        <v>147</v>
      </c>
      <c r="E33" s="792">
        <v>102</v>
      </c>
      <c r="F33" s="7"/>
    </row>
    <row r="34" spans="1:8" s="250" customFormat="1" ht="14.25" x14ac:dyDescent="0.2">
      <c r="A34" s="511" t="s">
        <v>29</v>
      </c>
      <c r="B34" s="898" t="s">
        <v>51</v>
      </c>
      <c r="C34" s="520"/>
      <c r="D34" s="520"/>
      <c r="E34" s="793"/>
      <c r="F34" s="249"/>
    </row>
    <row r="35" spans="1:8" s="246" customFormat="1" ht="15" x14ac:dyDescent="0.2">
      <c r="A35" s="505" t="s">
        <v>151</v>
      </c>
      <c r="B35" s="535" t="s">
        <v>53</v>
      </c>
      <c r="C35" s="510" t="s">
        <v>518</v>
      </c>
      <c r="D35" s="603" t="s">
        <v>142</v>
      </c>
      <c r="E35" s="792">
        <v>756.75</v>
      </c>
      <c r="F35" s="7"/>
    </row>
    <row r="36" spans="1:8" s="246" customFormat="1" ht="15" x14ac:dyDescent="0.2">
      <c r="A36" s="499">
        <v>4</v>
      </c>
      <c r="B36" s="516" t="s">
        <v>218</v>
      </c>
      <c r="C36" s="539"/>
      <c r="D36" s="539"/>
      <c r="E36" s="790"/>
      <c r="F36" s="7"/>
    </row>
    <row r="37" spans="1:8" s="246" customFormat="1" ht="15" x14ac:dyDescent="0.2">
      <c r="A37" s="511" t="s">
        <v>166</v>
      </c>
      <c r="B37" s="544" t="s">
        <v>134</v>
      </c>
      <c r="C37" s="544"/>
      <c r="D37" s="512"/>
      <c r="E37" s="794"/>
      <c r="F37" s="7"/>
    </row>
    <row r="38" spans="1:8" s="246" customFormat="1" ht="30" x14ac:dyDescent="0.2">
      <c r="A38" s="505" t="s">
        <v>670</v>
      </c>
      <c r="B38" s="509" t="s">
        <v>270</v>
      </c>
      <c r="C38" s="546" t="s">
        <v>516</v>
      </c>
      <c r="D38" s="605" t="s">
        <v>228</v>
      </c>
      <c r="E38" s="795">
        <v>41980.480000000003</v>
      </c>
      <c r="F38" s="7"/>
    </row>
    <row r="39" spans="1:8" s="246" customFormat="1" ht="45.75" customHeight="1" x14ac:dyDescent="0.2">
      <c r="A39" s="505" t="s">
        <v>484</v>
      </c>
      <c r="B39" s="549" t="s">
        <v>141</v>
      </c>
      <c r="C39" s="606" t="s">
        <v>517</v>
      </c>
      <c r="D39" s="607" t="s">
        <v>514</v>
      </c>
      <c r="E39" s="795">
        <v>15215.23</v>
      </c>
      <c r="F39" s="251"/>
      <c r="G39" s="252"/>
      <c r="H39" s="252"/>
    </row>
    <row r="40" spans="1:8" s="246" customFormat="1" ht="45" x14ac:dyDescent="0.2">
      <c r="A40" s="505" t="s">
        <v>485</v>
      </c>
      <c r="B40" s="549" t="s">
        <v>559</v>
      </c>
      <c r="C40" s="606" t="s">
        <v>519</v>
      </c>
      <c r="D40" s="607" t="s">
        <v>515</v>
      </c>
      <c r="E40" s="796">
        <v>55982.01</v>
      </c>
      <c r="F40" s="251"/>
      <c r="G40" s="252"/>
      <c r="H40" s="252"/>
    </row>
    <row r="41" spans="1:8" s="246" customFormat="1" ht="35.25" customHeight="1" x14ac:dyDescent="0.2">
      <c r="A41" s="505" t="s">
        <v>671</v>
      </c>
      <c r="B41" s="509" t="s">
        <v>104</v>
      </c>
      <c r="C41" s="899" t="s">
        <v>516</v>
      </c>
      <c r="D41" s="605" t="s">
        <v>228</v>
      </c>
      <c r="E41" s="795">
        <v>41980.480000000003</v>
      </c>
      <c r="F41" s="251"/>
      <c r="G41" s="252"/>
      <c r="H41" s="252"/>
    </row>
    <row r="42" spans="1:8" s="246" customFormat="1" ht="15" x14ac:dyDescent="0.2">
      <c r="A42" s="511" t="s">
        <v>167</v>
      </c>
      <c r="B42" s="544" t="s">
        <v>42</v>
      </c>
      <c r="C42" s="544"/>
      <c r="D42" s="512"/>
      <c r="E42" s="794"/>
      <c r="F42" s="7"/>
    </row>
    <row r="43" spans="1:8" s="246" customFormat="1" ht="45" x14ac:dyDescent="0.2">
      <c r="A43" s="505" t="s">
        <v>672</v>
      </c>
      <c r="B43" s="509" t="s">
        <v>560</v>
      </c>
      <c r="C43" s="899" t="s">
        <v>517</v>
      </c>
      <c r="D43" s="605" t="s">
        <v>143</v>
      </c>
      <c r="E43" s="795">
        <v>14693.14</v>
      </c>
      <c r="F43" s="7"/>
    </row>
    <row r="44" spans="1:8" s="246" customFormat="1" ht="45.75" customHeight="1" x14ac:dyDescent="0.2">
      <c r="A44" s="505" t="s">
        <v>673</v>
      </c>
      <c r="B44" s="509" t="s">
        <v>664</v>
      </c>
      <c r="C44" s="899" t="s">
        <v>519</v>
      </c>
      <c r="D44" s="607" t="s">
        <v>660</v>
      </c>
      <c r="E44" s="795">
        <v>293862.8</v>
      </c>
      <c r="F44" s="7"/>
    </row>
    <row r="45" spans="1:8" s="246" customFormat="1" ht="45.75" customHeight="1" x14ac:dyDescent="0.2">
      <c r="A45" s="505" t="s">
        <v>674</v>
      </c>
      <c r="B45" s="509" t="s">
        <v>665</v>
      </c>
      <c r="C45" s="923" t="s">
        <v>519</v>
      </c>
      <c r="D45" s="607" t="s">
        <v>661</v>
      </c>
      <c r="E45" s="795">
        <v>396714.78</v>
      </c>
      <c r="F45" s="7"/>
    </row>
    <row r="46" spans="1:8" s="246" customFormat="1" ht="45" x14ac:dyDescent="0.2">
      <c r="A46" s="505" t="s">
        <v>675</v>
      </c>
      <c r="B46" s="549" t="s">
        <v>561</v>
      </c>
      <c r="C46" s="548" t="s">
        <v>517</v>
      </c>
      <c r="D46" s="607" t="s">
        <v>344</v>
      </c>
      <c r="E46" s="796">
        <v>14693.14</v>
      </c>
      <c r="F46" s="7"/>
    </row>
    <row r="47" spans="1:8" s="246" customFormat="1" ht="15" x14ac:dyDescent="0.2">
      <c r="A47" s="706" t="s">
        <v>676</v>
      </c>
      <c r="B47" s="602" t="s">
        <v>235</v>
      </c>
      <c r="C47" s="900" t="s">
        <v>517</v>
      </c>
      <c r="D47" s="900" t="s">
        <v>237</v>
      </c>
      <c r="E47" s="601">
        <v>14693.14</v>
      </c>
      <c r="F47" s="7"/>
    </row>
    <row r="48" spans="1:8" s="246" customFormat="1" ht="30" x14ac:dyDescent="0.2">
      <c r="A48" s="706" t="s">
        <v>677</v>
      </c>
      <c r="B48" s="602" t="s">
        <v>238</v>
      </c>
      <c r="C48" s="900" t="s">
        <v>48</v>
      </c>
      <c r="D48" s="900" t="s">
        <v>424</v>
      </c>
      <c r="E48" s="601">
        <v>10</v>
      </c>
      <c r="F48" s="7"/>
    </row>
    <row r="49" spans="1:13" s="246" customFormat="1" ht="15" x14ac:dyDescent="0.2">
      <c r="A49" s="706" t="s">
        <v>678</v>
      </c>
      <c r="B49" s="602" t="s">
        <v>241</v>
      </c>
      <c r="C49" s="900" t="s">
        <v>48</v>
      </c>
      <c r="D49" s="900" t="s">
        <v>424</v>
      </c>
      <c r="E49" s="601">
        <v>10</v>
      </c>
      <c r="F49" s="7"/>
    </row>
    <row r="50" spans="1:13" s="246" customFormat="1" ht="15" x14ac:dyDescent="0.2">
      <c r="A50" s="505" t="s">
        <v>679</v>
      </c>
      <c r="B50" s="549" t="s">
        <v>628</v>
      </c>
      <c r="C50" s="548" t="s">
        <v>516</v>
      </c>
      <c r="D50" s="607" t="s">
        <v>217</v>
      </c>
      <c r="E50" s="796">
        <v>37813.870000000003</v>
      </c>
      <c r="F50" s="7"/>
    </row>
    <row r="51" spans="1:13" s="246" customFormat="1" ht="45" x14ac:dyDescent="0.2">
      <c r="A51" s="505" t="s">
        <v>680</v>
      </c>
      <c r="B51" s="549" t="s">
        <v>624</v>
      </c>
      <c r="C51" s="548" t="s">
        <v>516</v>
      </c>
      <c r="D51" s="607" t="s">
        <v>217</v>
      </c>
      <c r="E51" s="796">
        <v>37813.870000000003</v>
      </c>
      <c r="F51" s="7"/>
      <c r="K51" s="253"/>
      <c r="L51" s="253"/>
    </row>
    <row r="52" spans="1:13" s="246" customFormat="1" ht="64.5" customHeight="1" x14ac:dyDescent="0.2">
      <c r="A52" s="505" t="s">
        <v>681</v>
      </c>
      <c r="B52" s="509" t="s">
        <v>659</v>
      </c>
      <c r="C52" s="899" t="s">
        <v>248</v>
      </c>
      <c r="D52" s="607" t="s">
        <v>234</v>
      </c>
      <c r="E52" s="796">
        <v>92699.1</v>
      </c>
      <c r="F52" s="7"/>
      <c r="K52" s="253"/>
      <c r="L52" s="253"/>
    </row>
    <row r="53" spans="1:13" s="246" customFormat="1" ht="45" x14ac:dyDescent="0.2">
      <c r="A53" s="505" t="s">
        <v>682</v>
      </c>
      <c r="B53" s="509" t="s">
        <v>666</v>
      </c>
      <c r="C53" s="899" t="s">
        <v>248</v>
      </c>
      <c r="D53" s="607" t="s">
        <v>233</v>
      </c>
      <c r="E53" s="795">
        <v>187179.17</v>
      </c>
      <c r="F53" s="7"/>
      <c r="K53" s="254"/>
      <c r="L53" s="253"/>
    </row>
    <row r="54" spans="1:13" s="246" customFormat="1" ht="60" x14ac:dyDescent="0.2">
      <c r="A54" s="505" t="s">
        <v>695</v>
      </c>
      <c r="B54" s="535" t="s">
        <v>420</v>
      </c>
      <c r="C54" s="510" t="s">
        <v>518</v>
      </c>
      <c r="D54" s="603" t="s">
        <v>534</v>
      </c>
      <c r="E54" s="797">
        <v>9583.57</v>
      </c>
      <c r="F54" s="7"/>
      <c r="K54" s="254"/>
      <c r="L54" s="253"/>
    </row>
    <row r="55" spans="1:13" s="246" customFormat="1" ht="15" x14ac:dyDescent="0.2">
      <c r="A55" s="511" t="s">
        <v>168</v>
      </c>
      <c r="B55" s="898" t="s">
        <v>389</v>
      </c>
      <c r="C55" s="520"/>
      <c r="D55" s="520"/>
      <c r="E55" s="791"/>
      <c r="F55" s="7"/>
    </row>
    <row r="56" spans="1:13" s="246" customFormat="1" ht="45" x14ac:dyDescent="0.2">
      <c r="A56" s="505" t="s">
        <v>683</v>
      </c>
      <c r="B56" s="535" t="s">
        <v>693</v>
      </c>
      <c r="C56" s="510" t="s">
        <v>516</v>
      </c>
      <c r="D56" s="603" t="s">
        <v>422</v>
      </c>
      <c r="E56" s="797">
        <v>14315.67</v>
      </c>
      <c r="F56" s="7"/>
      <c r="K56" s="253"/>
      <c r="L56" s="253"/>
      <c r="M56" s="253"/>
    </row>
    <row r="57" spans="1:13" s="246" customFormat="1" ht="45" x14ac:dyDescent="0.2">
      <c r="A57" s="505" t="s">
        <v>684</v>
      </c>
      <c r="B57" s="535" t="s">
        <v>423</v>
      </c>
      <c r="C57" s="510" t="s">
        <v>517</v>
      </c>
      <c r="D57" s="603" t="s">
        <v>421</v>
      </c>
      <c r="E57" s="797">
        <v>1002.04</v>
      </c>
      <c r="F57" s="7"/>
      <c r="K57" s="253"/>
      <c r="L57" s="253"/>
      <c r="M57" s="253"/>
    </row>
    <row r="58" spans="1:13" s="246" customFormat="1" ht="45" x14ac:dyDescent="0.2">
      <c r="A58" s="505" t="s">
        <v>706</v>
      </c>
      <c r="B58" s="535" t="s">
        <v>666</v>
      </c>
      <c r="C58" s="510" t="s">
        <v>248</v>
      </c>
      <c r="D58" s="607" t="s">
        <v>233</v>
      </c>
      <c r="E58" s="797">
        <v>156959</v>
      </c>
      <c r="F58" s="7"/>
      <c r="K58" s="253"/>
      <c r="L58" s="253"/>
      <c r="M58" s="253"/>
    </row>
    <row r="59" spans="1:13" s="246" customFormat="1" ht="15" x14ac:dyDescent="0.2">
      <c r="A59" s="511" t="s">
        <v>169</v>
      </c>
      <c r="B59" s="544" t="s">
        <v>584</v>
      </c>
      <c r="C59" s="544"/>
      <c r="D59" s="512"/>
      <c r="E59" s="794"/>
      <c r="F59" s="7"/>
    </row>
    <row r="60" spans="1:13" s="246" customFormat="1" ht="30" x14ac:dyDescent="0.2">
      <c r="A60" s="505" t="s">
        <v>685</v>
      </c>
      <c r="B60" s="535" t="s">
        <v>533</v>
      </c>
      <c r="C60" s="510" t="s">
        <v>48</v>
      </c>
      <c r="D60" s="608" t="s">
        <v>146</v>
      </c>
      <c r="E60" s="798">
        <v>70</v>
      </c>
      <c r="F60" s="7"/>
      <c r="K60" s="254"/>
    </row>
    <row r="61" spans="1:13" s="246" customFormat="1" ht="30" x14ac:dyDescent="0.2">
      <c r="A61" s="505" t="s">
        <v>686</v>
      </c>
      <c r="B61" s="535" t="s">
        <v>542</v>
      </c>
      <c r="C61" s="510" t="s">
        <v>516</v>
      </c>
      <c r="D61" s="608" t="s">
        <v>146</v>
      </c>
      <c r="E61" s="798">
        <v>16.62</v>
      </c>
      <c r="F61" s="7"/>
      <c r="K61" s="254"/>
    </row>
    <row r="62" spans="1:13" s="246" customFormat="1" ht="30" x14ac:dyDescent="0.2">
      <c r="A62" s="505" t="s">
        <v>687</v>
      </c>
      <c r="B62" s="535" t="s">
        <v>520</v>
      </c>
      <c r="C62" s="510" t="s">
        <v>516</v>
      </c>
      <c r="D62" s="608" t="s">
        <v>146</v>
      </c>
      <c r="E62" s="798">
        <v>2293.63</v>
      </c>
      <c r="F62" s="7"/>
    </row>
    <row r="63" spans="1:13" ht="45" x14ac:dyDescent="0.2">
      <c r="A63" s="505" t="s">
        <v>282</v>
      </c>
      <c r="B63" s="535" t="s">
        <v>704</v>
      </c>
      <c r="C63" s="510" t="s">
        <v>516</v>
      </c>
      <c r="D63" s="608" t="s">
        <v>146</v>
      </c>
      <c r="E63" s="798">
        <v>120.96</v>
      </c>
    </row>
    <row r="64" spans="1:13" s="246" customFormat="1" ht="15" x14ac:dyDescent="0.2">
      <c r="A64" s="511" t="s">
        <v>170</v>
      </c>
      <c r="B64" s="544" t="s">
        <v>585</v>
      </c>
      <c r="C64" s="544"/>
      <c r="D64" s="512"/>
      <c r="E64" s="794"/>
      <c r="F64" s="7"/>
    </row>
    <row r="65" spans="1:11" s="246" customFormat="1" ht="30" x14ac:dyDescent="0.2">
      <c r="A65" s="505" t="s">
        <v>688</v>
      </c>
      <c r="B65" s="535" t="s">
        <v>533</v>
      </c>
      <c r="C65" s="510" t="s">
        <v>48</v>
      </c>
      <c r="D65" s="608" t="s">
        <v>146</v>
      </c>
      <c r="E65" s="798">
        <v>32</v>
      </c>
      <c r="F65" s="7"/>
      <c r="K65" s="254"/>
    </row>
    <row r="66" spans="1:11" ht="30.75" thickBot="1" x14ac:dyDescent="0.25">
      <c r="A66" s="905" t="s">
        <v>689</v>
      </c>
      <c r="B66" s="609" t="s">
        <v>522</v>
      </c>
      <c r="C66" s="610" t="s">
        <v>48</v>
      </c>
      <c r="D66" s="611" t="s">
        <v>146</v>
      </c>
      <c r="E66" s="799">
        <v>64</v>
      </c>
    </row>
    <row r="67" spans="1:11" ht="73.5" customHeight="1" x14ac:dyDescent="0.2">
      <c r="I67" s="256"/>
      <c r="J67" s="257"/>
    </row>
    <row r="68" spans="1:11" ht="15.75" x14ac:dyDescent="0.2">
      <c r="B68" s="258" t="str">
        <f>Terrap.!B28</f>
        <v>ROBSON DARCIO SOUSA</v>
      </c>
      <c r="I68" s="256"/>
      <c r="J68" s="257"/>
    </row>
    <row r="69" spans="1:11" ht="15" x14ac:dyDescent="0.2">
      <c r="B69" s="232" t="str">
        <f>Terrap.!B29</f>
        <v>ENGº CIVIL CREA: 120.263.916-0</v>
      </c>
      <c r="I69" s="256"/>
      <c r="J69" s="257"/>
    </row>
  </sheetData>
  <mergeCells count="10">
    <mergeCell ref="A1:B2"/>
    <mergeCell ref="C1:E1"/>
    <mergeCell ref="C2:E2"/>
    <mergeCell ref="M4:P6"/>
    <mergeCell ref="A7:E7"/>
    <mergeCell ref="G4:H5"/>
    <mergeCell ref="I4:J5"/>
    <mergeCell ref="D4:D6"/>
    <mergeCell ref="E4:E6"/>
    <mergeCell ref="C5:C6"/>
  </mergeCells>
  <pageMargins left="0.19685039370078741" right="0.19685039370078741" top="0.19685039370078741" bottom="0.19685039370078741" header="0.31496062992125984" footer="0.31496062992125984"/>
  <pageSetup paperSize="9" scale="73" orientation="portrait" r:id="rId1"/>
  <rowBreaks count="1" manualBreakCount="1">
    <brk id="51" max="4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90"/>
  <sheetViews>
    <sheetView view="pageBreakPreview" topLeftCell="A63" zoomScale="115" zoomScaleNormal="85" zoomScaleSheetLayoutView="115" zoomScalePageLayoutView="80" workbookViewId="0">
      <selection activeCell="G71" sqref="G71"/>
    </sheetView>
  </sheetViews>
  <sheetFormatPr defaultRowHeight="15" x14ac:dyDescent="0.2"/>
  <cols>
    <col min="1" max="1" width="12.42578125" style="8" customWidth="1"/>
    <col min="2" max="2" width="20.85546875" style="8" customWidth="1"/>
    <col min="3" max="3" width="15" style="8" hidden="1" customWidth="1"/>
    <col min="4" max="4" width="69.7109375" style="262" customWidth="1"/>
    <col min="5" max="5" width="10.140625" style="8" customWidth="1"/>
    <col min="6" max="6" width="11.7109375" style="10" bestFit="1" customWidth="1"/>
    <col min="7" max="7" width="11.28515625" style="45" customWidth="1"/>
    <col min="8" max="8" width="12.85546875" style="10" bestFit="1" customWidth="1"/>
    <col min="9" max="9" width="10.85546875" style="11" customWidth="1"/>
    <col min="10" max="10" width="20" style="11" customWidth="1"/>
    <col min="11" max="11" width="12.5703125" style="19" customWidth="1"/>
    <col min="12" max="12" width="9.85546875" style="246" customWidth="1"/>
    <col min="13" max="13" width="14.85546875" style="246" customWidth="1"/>
    <col min="14" max="14" width="13.140625" style="246" bestFit="1" customWidth="1"/>
    <col min="15" max="15" width="12.5703125" style="246" bestFit="1" customWidth="1"/>
    <col min="16" max="16384" width="9.140625" style="246"/>
  </cols>
  <sheetData>
    <row r="1" spans="1:15" ht="27.75" customHeight="1" x14ac:dyDescent="0.2">
      <c r="A1" s="1409" t="s">
        <v>556</v>
      </c>
      <c r="B1" s="1410"/>
      <c r="C1" s="1410"/>
      <c r="D1" s="1419" t="s">
        <v>54</v>
      </c>
      <c r="E1" s="1419"/>
      <c r="F1" s="1419"/>
      <c r="G1" s="1419"/>
      <c r="H1" s="1419"/>
      <c r="I1" s="1419"/>
      <c r="J1" s="1419"/>
      <c r="K1" s="1420"/>
    </row>
    <row r="2" spans="1:15" ht="27.75" customHeight="1" x14ac:dyDescent="0.2">
      <c r="A2" s="1411"/>
      <c r="B2" s="1412"/>
      <c r="C2" s="1412"/>
      <c r="D2" s="1421" t="s">
        <v>630</v>
      </c>
      <c r="E2" s="1421"/>
      <c r="F2" s="1421"/>
      <c r="G2" s="1421"/>
      <c r="H2" s="1421"/>
      <c r="I2" s="1421"/>
      <c r="J2" s="1421"/>
      <c r="K2" s="1422"/>
      <c r="L2" s="477"/>
      <c r="M2" s="477"/>
      <c r="N2" s="477"/>
    </row>
    <row r="3" spans="1:15" ht="21.75" customHeight="1" x14ac:dyDescent="0.2">
      <c r="A3" s="394" t="s">
        <v>55</v>
      </c>
      <c r="B3" s="1406" t="s">
        <v>663</v>
      </c>
      <c r="C3" s="1407"/>
      <c r="D3" s="1407"/>
      <c r="E3" s="1408"/>
      <c r="F3" s="1394" t="s">
        <v>135</v>
      </c>
      <c r="G3" s="1394"/>
      <c r="H3" s="1397" t="s">
        <v>703</v>
      </c>
      <c r="I3" s="1398"/>
      <c r="J3" s="1398"/>
      <c r="K3" s="1399"/>
      <c r="L3" s="477"/>
      <c r="M3" s="477"/>
      <c r="N3" s="477"/>
    </row>
    <row r="4" spans="1:15" ht="21.75" customHeight="1" x14ac:dyDescent="0.2">
      <c r="A4" s="394" t="s">
        <v>56</v>
      </c>
      <c r="B4" s="1406" t="s">
        <v>629</v>
      </c>
      <c r="C4" s="1407"/>
      <c r="D4" s="1407"/>
      <c r="E4" s="1408"/>
      <c r="F4" s="1394"/>
      <c r="G4" s="1394"/>
      <c r="H4" s="1400"/>
      <c r="I4" s="1401"/>
      <c r="J4" s="1401"/>
      <c r="K4" s="1402"/>
      <c r="L4" s="7"/>
      <c r="M4" s="7"/>
      <c r="N4" s="7"/>
    </row>
    <row r="5" spans="1:15" ht="21.75" customHeight="1" x14ac:dyDescent="0.2">
      <c r="A5" s="394" t="s">
        <v>57</v>
      </c>
      <c r="B5" s="1406" t="s">
        <v>630</v>
      </c>
      <c r="C5" s="1407"/>
      <c r="D5" s="1407"/>
      <c r="E5" s="1408"/>
      <c r="F5" s="1394"/>
      <c r="G5" s="1394"/>
      <c r="H5" s="1403"/>
      <c r="I5" s="1404"/>
      <c r="J5" s="1404"/>
      <c r="K5" s="1405"/>
      <c r="L5" s="7"/>
      <c r="M5" s="1373"/>
      <c r="N5" s="1373"/>
      <c r="O5" s="1373"/>
    </row>
    <row r="6" spans="1:15" ht="21.75" customHeight="1" thickBot="1" x14ac:dyDescent="0.25">
      <c r="A6" s="396" t="s">
        <v>397</v>
      </c>
      <c r="B6" s="1423">
        <v>37813.870000000003</v>
      </c>
      <c r="C6" s="1423"/>
      <c r="D6" s="1423"/>
      <c r="E6" s="1423"/>
      <c r="F6" s="1413" t="s">
        <v>374</v>
      </c>
      <c r="G6" s="1413"/>
      <c r="H6" s="1414" t="s">
        <v>701</v>
      </c>
      <c r="I6" s="1415"/>
      <c r="J6" s="431" t="s">
        <v>59</v>
      </c>
      <c r="K6" s="563">
        <v>0.20699999999999999</v>
      </c>
      <c r="L6" s="7"/>
      <c r="M6" s="1373"/>
      <c r="N6" s="1373"/>
      <c r="O6" s="1373"/>
    </row>
    <row r="7" spans="1:15" ht="26.25" customHeight="1" thickBot="1" x14ac:dyDescent="0.25">
      <c r="A7" s="1416" t="s">
        <v>130</v>
      </c>
      <c r="B7" s="1417"/>
      <c r="C7" s="1417"/>
      <c r="D7" s="1417"/>
      <c r="E7" s="1417"/>
      <c r="F7" s="1417"/>
      <c r="G7" s="1417"/>
      <c r="H7" s="1417"/>
      <c r="I7" s="1417"/>
      <c r="J7" s="1417"/>
      <c r="K7" s="1418"/>
      <c r="L7" s="7"/>
    </row>
    <row r="8" spans="1:15" ht="51" customHeight="1" x14ac:dyDescent="0.2">
      <c r="A8" s="492" t="s">
        <v>0</v>
      </c>
      <c r="B8" s="493" t="s">
        <v>395</v>
      </c>
      <c r="C8" s="493" t="s">
        <v>396</v>
      </c>
      <c r="D8" s="494" t="s">
        <v>1</v>
      </c>
      <c r="E8" s="494" t="s">
        <v>2</v>
      </c>
      <c r="F8" s="495" t="s">
        <v>3</v>
      </c>
      <c r="G8" s="496" t="s">
        <v>393</v>
      </c>
      <c r="H8" s="497" t="s">
        <v>131</v>
      </c>
      <c r="I8" s="497" t="s">
        <v>129</v>
      </c>
      <c r="J8" s="497" t="s">
        <v>394</v>
      </c>
      <c r="K8" s="498" t="s">
        <v>4</v>
      </c>
      <c r="L8" s="260"/>
      <c r="M8" s="1392"/>
      <c r="N8" s="1392"/>
      <c r="O8" s="1392"/>
    </row>
    <row r="9" spans="1:15" x14ac:dyDescent="0.2">
      <c r="A9" s="499">
        <v>1</v>
      </c>
      <c r="B9" s="500"/>
      <c r="C9" s="500"/>
      <c r="D9" s="501" t="s">
        <v>30</v>
      </c>
      <c r="E9" s="500"/>
      <c r="F9" s="502"/>
      <c r="G9" s="503"/>
      <c r="H9" s="502"/>
      <c r="I9" s="502"/>
      <c r="J9" s="502"/>
      <c r="K9" s="504"/>
      <c r="L9" s="478"/>
    </row>
    <row r="10" spans="1:15" ht="30" x14ac:dyDescent="0.2">
      <c r="A10" s="505" t="s">
        <v>23</v>
      </c>
      <c r="B10" s="707">
        <v>93584</v>
      </c>
      <c r="C10" s="480"/>
      <c r="D10" s="506" t="s">
        <v>417</v>
      </c>
      <c r="E10" s="479" t="s">
        <v>516</v>
      </c>
      <c r="F10" s="507">
        <v>30</v>
      </c>
      <c r="G10" s="508">
        <v>481.2</v>
      </c>
      <c r="H10" s="508">
        <v>14436</v>
      </c>
      <c r="I10" s="508">
        <v>580.79999999999995</v>
      </c>
      <c r="J10" s="508">
        <v>17424</v>
      </c>
      <c r="K10" s="1387">
        <v>6.7000000000000002E-3</v>
      </c>
      <c r="L10" s="478"/>
    </row>
    <row r="11" spans="1:15" ht="45" x14ac:dyDescent="0.2">
      <c r="A11" s="505" t="s">
        <v>44</v>
      </c>
      <c r="B11" s="707">
        <v>93212</v>
      </c>
      <c r="C11" s="707"/>
      <c r="D11" s="506" t="s">
        <v>418</v>
      </c>
      <c r="E11" s="709" t="s">
        <v>516</v>
      </c>
      <c r="F11" s="507">
        <v>7.5</v>
      </c>
      <c r="G11" s="508">
        <v>611.44000000000005</v>
      </c>
      <c r="H11" s="508">
        <v>4585.8</v>
      </c>
      <c r="I11" s="508">
        <v>738</v>
      </c>
      <c r="J11" s="508">
        <v>5535</v>
      </c>
      <c r="K11" s="1388"/>
      <c r="L11" s="708"/>
    </row>
    <row r="12" spans="1:15" x14ac:dyDescent="0.2">
      <c r="A12" s="505" t="s">
        <v>45</v>
      </c>
      <c r="B12" s="479" t="s">
        <v>36</v>
      </c>
      <c r="C12" s="479"/>
      <c r="D12" s="509" t="s">
        <v>101</v>
      </c>
      <c r="E12" s="479" t="s">
        <v>516</v>
      </c>
      <c r="F12" s="507">
        <v>25</v>
      </c>
      <c r="G12" s="508">
        <v>318.44</v>
      </c>
      <c r="H12" s="508">
        <v>7961</v>
      </c>
      <c r="I12" s="508">
        <v>384.35</v>
      </c>
      <c r="J12" s="508">
        <v>9608.75</v>
      </c>
      <c r="K12" s="1388"/>
      <c r="L12" s="478"/>
    </row>
    <row r="13" spans="1:15" x14ac:dyDescent="0.2">
      <c r="A13" s="511"/>
      <c r="B13" s="512"/>
      <c r="C13" s="512"/>
      <c r="D13" s="513" t="s">
        <v>7</v>
      </c>
      <c r="E13" s="512"/>
      <c r="F13" s="514"/>
      <c r="G13" s="515"/>
      <c r="H13" s="515"/>
      <c r="I13" s="515"/>
      <c r="J13" s="515">
        <v>32567.75</v>
      </c>
      <c r="K13" s="1393"/>
      <c r="L13" s="478"/>
    </row>
    <row r="14" spans="1:15" x14ac:dyDescent="0.2">
      <c r="A14" s="499">
        <v>2</v>
      </c>
      <c r="B14" s="500"/>
      <c r="C14" s="500"/>
      <c r="D14" s="516" t="s">
        <v>553</v>
      </c>
      <c r="E14" s="500"/>
      <c r="F14" s="517"/>
      <c r="G14" s="503"/>
      <c r="H14" s="503"/>
      <c r="I14" s="503"/>
      <c r="J14" s="503"/>
      <c r="K14" s="504"/>
      <c r="L14" s="478"/>
    </row>
    <row r="15" spans="1:15" x14ac:dyDescent="0.2">
      <c r="A15" s="505" t="s">
        <v>24</v>
      </c>
      <c r="B15" s="1395" t="s">
        <v>547</v>
      </c>
      <c r="C15" s="1396"/>
      <c r="D15" s="509" t="s">
        <v>625</v>
      </c>
      <c r="E15" s="479" t="s">
        <v>48</v>
      </c>
      <c r="F15" s="518">
        <v>1</v>
      </c>
      <c r="G15" s="508">
        <v>191112</v>
      </c>
      <c r="H15" s="508">
        <v>191112</v>
      </c>
      <c r="I15" s="508">
        <v>230672.18</v>
      </c>
      <c r="J15" s="508">
        <v>230672.18</v>
      </c>
      <c r="K15" s="1387">
        <v>4.7300000000000002E-2</v>
      </c>
      <c r="L15" s="478"/>
    </row>
    <row r="16" spans="1:15" x14ac:dyDescent="0.2">
      <c r="A16" s="511"/>
      <c r="B16" s="512"/>
      <c r="C16" s="512"/>
      <c r="D16" s="513" t="s">
        <v>7</v>
      </c>
      <c r="E16" s="512"/>
      <c r="F16" s="514"/>
      <c r="G16" s="515"/>
      <c r="H16" s="515"/>
      <c r="I16" s="515"/>
      <c r="J16" s="515">
        <v>230672.18</v>
      </c>
      <c r="K16" s="1393"/>
      <c r="L16" s="478"/>
      <c r="M16" s="367">
        <v>96847.54</v>
      </c>
    </row>
    <row r="17" spans="1:12" x14ac:dyDescent="0.2">
      <c r="A17" s="499">
        <v>3</v>
      </c>
      <c r="B17" s="500"/>
      <c r="C17" s="500"/>
      <c r="D17" s="516" t="s">
        <v>49</v>
      </c>
      <c r="E17" s="500"/>
      <c r="F17" s="517"/>
      <c r="G17" s="503"/>
      <c r="H17" s="503"/>
      <c r="I17" s="503"/>
      <c r="J17" s="503"/>
      <c r="K17" s="504"/>
      <c r="L17" s="478"/>
    </row>
    <row r="18" spans="1:12" ht="15" customHeight="1" x14ac:dyDescent="0.2">
      <c r="A18" s="511" t="s">
        <v>25</v>
      </c>
      <c r="B18" s="512"/>
      <c r="C18" s="512"/>
      <c r="D18" s="519" t="s">
        <v>30</v>
      </c>
      <c r="E18" s="520"/>
      <c r="F18" s="521"/>
      <c r="G18" s="522"/>
      <c r="H18" s="515"/>
      <c r="I18" s="515"/>
      <c r="J18" s="523"/>
      <c r="K18" s="1389">
        <v>0.2417</v>
      </c>
      <c r="L18" s="7"/>
    </row>
    <row r="19" spans="1:12" ht="30" customHeight="1" x14ac:dyDescent="0.2">
      <c r="A19" s="505" t="s">
        <v>38</v>
      </c>
      <c r="B19" s="911">
        <v>73610</v>
      </c>
      <c r="C19" s="479"/>
      <c r="D19" s="524" t="s">
        <v>102</v>
      </c>
      <c r="E19" s="510" t="s">
        <v>518</v>
      </c>
      <c r="F19" s="525">
        <v>3027</v>
      </c>
      <c r="G19" s="508">
        <v>0.91</v>
      </c>
      <c r="H19" s="508">
        <v>2754.57</v>
      </c>
      <c r="I19" s="508">
        <v>1.0900000000000001</v>
      </c>
      <c r="J19" s="525">
        <v>3299.43</v>
      </c>
      <c r="K19" s="1390"/>
      <c r="L19" s="7"/>
    </row>
    <row r="20" spans="1:12" ht="15" customHeight="1" x14ac:dyDescent="0.2">
      <c r="A20" s="511"/>
      <c r="B20" s="512"/>
      <c r="C20" s="512"/>
      <c r="D20" s="526" t="s">
        <v>7</v>
      </c>
      <c r="E20" s="520"/>
      <c r="F20" s="523"/>
      <c r="G20" s="515"/>
      <c r="H20" s="515"/>
      <c r="I20" s="515"/>
      <c r="J20" s="523">
        <v>3299.43</v>
      </c>
      <c r="K20" s="1390"/>
      <c r="L20" s="7"/>
    </row>
    <row r="21" spans="1:12" ht="15" customHeight="1" x14ac:dyDescent="0.2">
      <c r="A21" s="511" t="s">
        <v>26</v>
      </c>
      <c r="B21" s="512"/>
      <c r="C21" s="512"/>
      <c r="D21" s="527" t="s">
        <v>132</v>
      </c>
      <c r="E21" s="520"/>
      <c r="F21" s="523"/>
      <c r="G21" s="515"/>
      <c r="H21" s="515"/>
      <c r="I21" s="515"/>
      <c r="J21" s="523"/>
      <c r="K21" s="1390"/>
      <c r="L21" s="7"/>
    </row>
    <row r="22" spans="1:12" ht="75" x14ac:dyDescent="0.2">
      <c r="A22" s="528" t="s">
        <v>152</v>
      </c>
      <c r="B22" s="510">
        <v>90091</v>
      </c>
      <c r="C22" s="529"/>
      <c r="D22" s="530" t="s">
        <v>480</v>
      </c>
      <c r="E22" s="710" t="s">
        <v>517</v>
      </c>
      <c r="F22" s="531">
        <v>6498.6</v>
      </c>
      <c r="G22" s="532">
        <v>4.83</v>
      </c>
      <c r="H22" s="532">
        <v>31388.23</v>
      </c>
      <c r="I22" s="508">
        <v>5.82</v>
      </c>
      <c r="J22" s="531">
        <v>37821.85</v>
      </c>
      <c r="K22" s="1390"/>
      <c r="L22" s="248"/>
    </row>
    <row r="23" spans="1:12" ht="75" customHeight="1" x14ac:dyDescent="0.2">
      <c r="A23" s="528" t="s">
        <v>153</v>
      </c>
      <c r="B23" s="510">
        <v>90092</v>
      </c>
      <c r="C23" s="529"/>
      <c r="D23" s="530" t="s">
        <v>481</v>
      </c>
      <c r="E23" s="710" t="s">
        <v>517</v>
      </c>
      <c r="F23" s="531">
        <v>1102.6500000000001</v>
      </c>
      <c r="G23" s="532">
        <v>4.67</v>
      </c>
      <c r="H23" s="532">
        <v>5149.37</v>
      </c>
      <c r="I23" s="508">
        <v>5.63</v>
      </c>
      <c r="J23" s="531">
        <v>6207.91</v>
      </c>
      <c r="K23" s="1390"/>
      <c r="L23" s="248"/>
    </row>
    <row r="24" spans="1:12" ht="48.75" customHeight="1" x14ac:dyDescent="0.2">
      <c r="A24" s="528" t="s">
        <v>154</v>
      </c>
      <c r="B24" s="510">
        <v>94056</v>
      </c>
      <c r="C24" s="529"/>
      <c r="D24" s="530" t="s">
        <v>486</v>
      </c>
      <c r="E24" s="710" t="s">
        <v>516</v>
      </c>
      <c r="F24" s="531">
        <v>893.49</v>
      </c>
      <c r="G24" s="533">
        <v>30.94</v>
      </c>
      <c r="H24" s="534">
        <v>27644.58</v>
      </c>
      <c r="I24" s="508">
        <v>37.340000000000003</v>
      </c>
      <c r="J24" s="531">
        <v>33362.910000000003</v>
      </c>
      <c r="K24" s="1390"/>
      <c r="L24" s="248"/>
    </row>
    <row r="25" spans="1:12" ht="45" x14ac:dyDescent="0.2">
      <c r="A25" s="528" t="s">
        <v>155</v>
      </c>
      <c r="B25" s="510">
        <v>94102</v>
      </c>
      <c r="C25" s="510"/>
      <c r="D25" s="530" t="s">
        <v>482</v>
      </c>
      <c r="E25" s="710" t="s">
        <v>517</v>
      </c>
      <c r="F25" s="531">
        <v>374.32</v>
      </c>
      <c r="G25" s="536">
        <v>164.29</v>
      </c>
      <c r="H25" s="508">
        <v>61497.03</v>
      </c>
      <c r="I25" s="508">
        <v>198.29</v>
      </c>
      <c r="J25" s="525">
        <v>74223.91</v>
      </c>
      <c r="K25" s="1390"/>
      <c r="L25" s="248"/>
    </row>
    <row r="26" spans="1:12" ht="75" x14ac:dyDescent="0.2">
      <c r="A26" s="528" t="s">
        <v>343</v>
      </c>
      <c r="B26" s="510">
        <v>93379</v>
      </c>
      <c r="C26" s="529"/>
      <c r="D26" s="535" t="s">
        <v>429</v>
      </c>
      <c r="E26" s="710" t="s">
        <v>517</v>
      </c>
      <c r="F26" s="531">
        <v>5469.14</v>
      </c>
      <c r="G26" s="508">
        <v>11.87</v>
      </c>
      <c r="H26" s="508">
        <v>64918.69</v>
      </c>
      <c r="I26" s="508">
        <v>14.32</v>
      </c>
      <c r="J26" s="525">
        <v>78318.080000000002</v>
      </c>
      <c r="K26" s="1390"/>
      <c r="L26" s="248"/>
    </row>
    <row r="27" spans="1:12" ht="75" x14ac:dyDescent="0.2">
      <c r="A27" s="528" t="s">
        <v>388</v>
      </c>
      <c r="B27" s="510">
        <v>93381</v>
      </c>
      <c r="C27" s="529"/>
      <c r="D27" s="535" t="s">
        <v>430</v>
      </c>
      <c r="E27" s="710" t="s">
        <v>517</v>
      </c>
      <c r="F27" s="531">
        <v>1048.1300000000001</v>
      </c>
      <c r="G27" s="508">
        <v>6.52</v>
      </c>
      <c r="H27" s="508">
        <v>6833.8</v>
      </c>
      <c r="I27" s="508">
        <v>7.86</v>
      </c>
      <c r="J27" s="525">
        <v>8238.2999999999993</v>
      </c>
      <c r="K27" s="1390"/>
      <c r="L27" s="248"/>
    </row>
    <row r="28" spans="1:12" ht="15" customHeight="1" x14ac:dyDescent="0.2">
      <c r="A28" s="511"/>
      <c r="B28" s="512"/>
      <c r="C28" s="512"/>
      <c r="D28" s="521" t="s">
        <v>7</v>
      </c>
      <c r="E28" s="520"/>
      <c r="F28" s="523"/>
      <c r="G28" s="522"/>
      <c r="H28" s="515"/>
      <c r="I28" s="515"/>
      <c r="J28" s="523">
        <v>238172.96</v>
      </c>
      <c r="K28" s="1390"/>
      <c r="L28" s="248"/>
    </row>
    <row r="29" spans="1:12" ht="15" customHeight="1" x14ac:dyDescent="0.2">
      <c r="A29" s="511" t="s">
        <v>27</v>
      </c>
      <c r="B29" s="512"/>
      <c r="C29" s="512"/>
      <c r="D29" s="537" t="s">
        <v>133</v>
      </c>
      <c r="E29" s="520"/>
      <c r="F29" s="523"/>
      <c r="G29" s="515"/>
      <c r="H29" s="515"/>
      <c r="I29" s="515"/>
      <c r="J29" s="523"/>
      <c r="K29" s="1390"/>
      <c r="L29" s="248"/>
    </row>
    <row r="30" spans="1:12" ht="60" x14ac:dyDescent="0.2">
      <c r="A30" s="505" t="s">
        <v>39</v>
      </c>
      <c r="B30" s="510">
        <v>92219</v>
      </c>
      <c r="C30" s="510"/>
      <c r="D30" s="535" t="s">
        <v>692</v>
      </c>
      <c r="E30" s="510" t="s">
        <v>518</v>
      </c>
      <c r="F30" s="525">
        <v>824</v>
      </c>
      <c r="G30" s="538">
        <v>115.33</v>
      </c>
      <c r="H30" s="508">
        <v>95031.92</v>
      </c>
      <c r="I30" s="508">
        <v>139.19999999999999</v>
      </c>
      <c r="J30" s="525">
        <v>114700.8</v>
      </c>
      <c r="K30" s="1390"/>
      <c r="L30" s="248"/>
    </row>
    <row r="31" spans="1:12" ht="60" x14ac:dyDescent="0.2">
      <c r="A31" s="505" t="s">
        <v>156</v>
      </c>
      <c r="B31" s="510">
        <v>92221</v>
      </c>
      <c r="C31" s="510"/>
      <c r="D31" s="535" t="s">
        <v>691</v>
      </c>
      <c r="E31" s="510" t="s">
        <v>518</v>
      </c>
      <c r="F31" s="525">
        <v>825</v>
      </c>
      <c r="G31" s="538">
        <v>188.61</v>
      </c>
      <c r="H31" s="508">
        <v>155603.25</v>
      </c>
      <c r="I31" s="508">
        <v>227.65</v>
      </c>
      <c r="J31" s="525">
        <v>187811.25</v>
      </c>
      <c r="K31" s="1390"/>
      <c r="L31" s="248"/>
    </row>
    <row r="32" spans="1:12" ht="60" x14ac:dyDescent="0.2">
      <c r="A32" s="505" t="s">
        <v>249</v>
      </c>
      <c r="B32" s="510">
        <v>92223</v>
      </c>
      <c r="C32" s="510"/>
      <c r="D32" s="535" t="s">
        <v>690</v>
      </c>
      <c r="E32" s="510" t="s">
        <v>518</v>
      </c>
      <c r="F32" s="525">
        <v>1378</v>
      </c>
      <c r="G32" s="538">
        <v>284.2</v>
      </c>
      <c r="H32" s="508">
        <v>391627.6</v>
      </c>
      <c r="I32" s="508">
        <v>343.02</v>
      </c>
      <c r="J32" s="525">
        <v>472681.56</v>
      </c>
      <c r="K32" s="1390"/>
      <c r="L32" s="248"/>
    </row>
    <row r="33" spans="1:12" ht="60" hidden="1" x14ac:dyDescent="0.2">
      <c r="A33" s="505" t="s">
        <v>648</v>
      </c>
      <c r="B33" s="510">
        <v>92216</v>
      </c>
      <c r="C33" s="510"/>
      <c r="D33" s="535" t="s">
        <v>431</v>
      </c>
      <c r="E33" s="510" t="s">
        <v>518</v>
      </c>
      <c r="F33" s="525">
        <v>0</v>
      </c>
      <c r="G33" s="538">
        <v>365.22</v>
      </c>
      <c r="H33" s="508">
        <v>0</v>
      </c>
      <c r="I33" s="508">
        <v>440.82</v>
      </c>
      <c r="J33" s="525">
        <v>0</v>
      </c>
      <c r="K33" s="1390"/>
      <c r="L33" s="248"/>
    </row>
    <row r="34" spans="1:12" ht="15" customHeight="1" x14ac:dyDescent="0.2">
      <c r="A34" s="511"/>
      <c r="B34" s="512"/>
      <c r="C34" s="512"/>
      <c r="D34" s="521" t="s">
        <v>7</v>
      </c>
      <c r="E34" s="520"/>
      <c r="F34" s="523"/>
      <c r="G34" s="522"/>
      <c r="H34" s="515"/>
      <c r="I34" s="515"/>
      <c r="J34" s="523">
        <v>775193.61</v>
      </c>
      <c r="K34" s="1390"/>
      <c r="L34" s="7"/>
    </row>
    <row r="35" spans="1:12" ht="15" customHeight="1" x14ac:dyDescent="0.2">
      <c r="A35" s="511" t="s">
        <v>28</v>
      </c>
      <c r="B35" s="512"/>
      <c r="C35" s="512"/>
      <c r="D35" s="537" t="s">
        <v>50</v>
      </c>
      <c r="E35" s="520"/>
      <c r="F35" s="523"/>
      <c r="G35" s="522"/>
      <c r="H35" s="515"/>
      <c r="I35" s="515"/>
      <c r="J35" s="523"/>
      <c r="K35" s="1390"/>
      <c r="L35" s="7"/>
    </row>
    <row r="36" spans="1:12" ht="60" x14ac:dyDescent="0.2">
      <c r="A36" s="505" t="s">
        <v>40</v>
      </c>
      <c r="B36" s="923">
        <v>98421</v>
      </c>
      <c r="C36" s="710"/>
      <c r="D36" s="840" t="s">
        <v>649</v>
      </c>
      <c r="E36" s="510" t="s">
        <v>48</v>
      </c>
      <c r="F36" s="525">
        <v>24</v>
      </c>
      <c r="G36" s="538">
        <v>1562.75</v>
      </c>
      <c r="H36" s="508">
        <v>37506</v>
      </c>
      <c r="I36" s="508">
        <v>1886.23</v>
      </c>
      <c r="J36" s="525">
        <v>45269.52</v>
      </c>
      <c r="K36" s="1390"/>
      <c r="L36" s="7"/>
    </row>
    <row r="37" spans="1:12" ht="60" x14ac:dyDescent="0.2">
      <c r="A37" s="505" t="s">
        <v>157</v>
      </c>
      <c r="B37" s="923">
        <v>98422</v>
      </c>
      <c r="C37" s="710"/>
      <c r="D37" s="840" t="s">
        <v>650</v>
      </c>
      <c r="E37" s="510" t="s">
        <v>48</v>
      </c>
      <c r="F37" s="525">
        <v>9</v>
      </c>
      <c r="G37" s="538">
        <v>1751.73</v>
      </c>
      <c r="H37" s="508">
        <v>15765.57</v>
      </c>
      <c r="I37" s="508">
        <v>2114.33</v>
      </c>
      <c r="J37" s="525">
        <v>19028.97</v>
      </c>
      <c r="K37" s="1390"/>
      <c r="L37" s="7"/>
    </row>
    <row r="38" spans="1:12" ht="45" x14ac:dyDescent="0.2">
      <c r="A38" s="505" t="s">
        <v>158</v>
      </c>
      <c r="B38" s="510">
        <v>83659</v>
      </c>
      <c r="C38" s="510"/>
      <c r="D38" s="535" t="s">
        <v>483</v>
      </c>
      <c r="E38" s="510" t="s">
        <v>48</v>
      </c>
      <c r="F38" s="525">
        <v>102</v>
      </c>
      <c r="G38" s="508">
        <v>773.52</v>
      </c>
      <c r="H38" s="508">
        <v>78899.039999999994</v>
      </c>
      <c r="I38" s="508">
        <v>933.63</v>
      </c>
      <c r="J38" s="525">
        <v>95230.26</v>
      </c>
      <c r="K38" s="1390"/>
      <c r="L38" s="7"/>
    </row>
    <row r="39" spans="1:12" s="250" customFormat="1" ht="14.25" customHeight="1" x14ac:dyDescent="0.2">
      <c r="A39" s="511"/>
      <c r="B39" s="520"/>
      <c r="C39" s="520"/>
      <c r="D39" s="537" t="s">
        <v>7</v>
      </c>
      <c r="E39" s="520"/>
      <c r="F39" s="523"/>
      <c r="G39" s="515"/>
      <c r="H39" s="515"/>
      <c r="I39" s="515"/>
      <c r="J39" s="523">
        <v>159528.75</v>
      </c>
      <c r="K39" s="1390"/>
      <c r="L39" s="249"/>
    </row>
    <row r="40" spans="1:12" s="250" customFormat="1" ht="14.25" customHeight="1" x14ac:dyDescent="0.2">
      <c r="A40" s="511" t="s">
        <v>29</v>
      </c>
      <c r="B40" s="520"/>
      <c r="C40" s="520"/>
      <c r="D40" s="537" t="s">
        <v>51</v>
      </c>
      <c r="E40" s="520"/>
      <c r="F40" s="521"/>
      <c r="G40" s="515"/>
      <c r="H40" s="515"/>
      <c r="I40" s="515"/>
      <c r="J40" s="523"/>
      <c r="K40" s="1390"/>
      <c r="L40" s="249"/>
    </row>
    <row r="41" spans="1:12" ht="15" customHeight="1" x14ac:dyDescent="0.2">
      <c r="A41" s="505" t="s">
        <v>41</v>
      </c>
      <c r="B41" s="510" t="s">
        <v>52</v>
      </c>
      <c r="C41" s="510"/>
      <c r="D41" s="535" t="s">
        <v>53</v>
      </c>
      <c r="E41" s="510" t="s">
        <v>518</v>
      </c>
      <c r="F41" s="525">
        <v>756.75</v>
      </c>
      <c r="G41" s="508">
        <v>2.54</v>
      </c>
      <c r="H41" s="508">
        <v>1922.14</v>
      </c>
      <c r="I41" s="508">
        <v>3.06</v>
      </c>
      <c r="J41" s="525">
        <v>2315.65</v>
      </c>
      <c r="K41" s="1390"/>
      <c r="L41" s="7"/>
    </row>
    <row r="42" spans="1:12" s="250" customFormat="1" ht="14.25" customHeight="1" x14ac:dyDescent="0.2">
      <c r="A42" s="511"/>
      <c r="B42" s="512"/>
      <c r="C42" s="512"/>
      <c r="D42" s="521" t="s">
        <v>7</v>
      </c>
      <c r="E42" s="520"/>
      <c r="F42" s="523"/>
      <c r="G42" s="522"/>
      <c r="H42" s="515"/>
      <c r="I42" s="515"/>
      <c r="J42" s="523">
        <v>2315.65</v>
      </c>
      <c r="K42" s="1391"/>
      <c r="L42" s="249"/>
    </row>
    <row r="43" spans="1:12" x14ac:dyDescent="0.2">
      <c r="A43" s="499">
        <v>4</v>
      </c>
      <c r="B43" s="500"/>
      <c r="C43" s="500"/>
      <c r="D43" s="516" t="s">
        <v>218</v>
      </c>
      <c r="E43" s="539"/>
      <c r="F43" s="540"/>
      <c r="G43" s="541"/>
      <c r="H43" s="503"/>
      <c r="I43" s="503"/>
      <c r="J43" s="542"/>
      <c r="K43" s="543"/>
      <c r="L43" s="7"/>
    </row>
    <row r="44" spans="1:12" x14ac:dyDescent="0.2">
      <c r="A44" s="511" t="s">
        <v>166</v>
      </c>
      <c r="B44" s="512"/>
      <c r="C44" s="512"/>
      <c r="D44" s="544" t="s">
        <v>346</v>
      </c>
      <c r="E44" s="544"/>
      <c r="F44" s="544"/>
      <c r="G44" s="515"/>
      <c r="H44" s="515"/>
      <c r="I44" s="515"/>
      <c r="J44" s="545"/>
      <c r="K44" s="1387">
        <v>0.70430000000000004</v>
      </c>
      <c r="L44" s="7"/>
    </row>
    <row r="45" spans="1:12" ht="30" x14ac:dyDescent="0.2">
      <c r="A45" s="505" t="s">
        <v>670</v>
      </c>
      <c r="B45" s="529">
        <v>78472</v>
      </c>
      <c r="C45" s="529"/>
      <c r="D45" s="509" t="s">
        <v>270</v>
      </c>
      <c r="E45" s="546" t="s">
        <v>516</v>
      </c>
      <c r="F45" s="547">
        <v>41980.480000000003</v>
      </c>
      <c r="G45" s="508">
        <v>0.33</v>
      </c>
      <c r="H45" s="508">
        <v>13853.55</v>
      </c>
      <c r="I45" s="508">
        <v>0.39</v>
      </c>
      <c r="J45" s="547">
        <v>16372.38</v>
      </c>
      <c r="K45" s="1388"/>
      <c r="L45" s="7"/>
    </row>
    <row r="46" spans="1:12" ht="45" x14ac:dyDescent="0.2">
      <c r="A46" s="505" t="s">
        <v>484</v>
      </c>
      <c r="B46" s="548" t="s">
        <v>140</v>
      </c>
      <c r="C46" s="548"/>
      <c r="D46" s="549" t="s">
        <v>141</v>
      </c>
      <c r="E46" s="550" t="s">
        <v>517</v>
      </c>
      <c r="F46" s="551">
        <v>15215.23</v>
      </c>
      <c r="G46" s="532">
        <v>1.5</v>
      </c>
      <c r="H46" s="532">
        <v>22822.84</v>
      </c>
      <c r="I46" s="508">
        <v>1.81</v>
      </c>
      <c r="J46" s="551">
        <v>27539.56</v>
      </c>
      <c r="K46" s="1388"/>
      <c r="L46" s="7"/>
    </row>
    <row r="47" spans="1:12" ht="45" x14ac:dyDescent="0.2">
      <c r="A47" s="505" t="s">
        <v>485</v>
      </c>
      <c r="B47" s="510">
        <v>93589</v>
      </c>
      <c r="C47" s="510"/>
      <c r="D47" s="509" t="s">
        <v>559</v>
      </c>
      <c r="E47" s="844" t="s">
        <v>519</v>
      </c>
      <c r="F47" s="547">
        <v>55982.01</v>
      </c>
      <c r="G47" s="508">
        <v>1.24</v>
      </c>
      <c r="H47" s="508">
        <v>69417.69</v>
      </c>
      <c r="I47" s="508">
        <v>1.49</v>
      </c>
      <c r="J47" s="547">
        <v>83413.19</v>
      </c>
      <c r="K47" s="1388"/>
      <c r="L47" s="7"/>
    </row>
    <row r="48" spans="1:12" ht="30" x14ac:dyDescent="0.2">
      <c r="A48" s="505" t="s">
        <v>671</v>
      </c>
      <c r="B48" s="510">
        <v>72961</v>
      </c>
      <c r="C48" s="510"/>
      <c r="D48" s="509" t="s">
        <v>104</v>
      </c>
      <c r="E48" s="479" t="s">
        <v>516</v>
      </c>
      <c r="F48" s="547">
        <v>41980.480000000003</v>
      </c>
      <c r="G48" s="508">
        <v>1.27</v>
      </c>
      <c r="H48" s="508">
        <v>53315.199999999997</v>
      </c>
      <c r="I48" s="508">
        <v>1.53</v>
      </c>
      <c r="J48" s="547">
        <v>64230.13</v>
      </c>
      <c r="K48" s="1388"/>
      <c r="L48" s="7"/>
    </row>
    <row r="49" spans="1:12" x14ac:dyDescent="0.2">
      <c r="A49" s="552"/>
      <c r="B49" s="553"/>
      <c r="C49" s="553"/>
      <c r="D49" s="554" t="s">
        <v>7</v>
      </c>
      <c r="E49" s="555"/>
      <c r="F49" s="556"/>
      <c r="G49" s="557"/>
      <c r="H49" s="557"/>
      <c r="I49" s="557"/>
      <c r="J49" s="556">
        <v>191555.26</v>
      </c>
      <c r="K49" s="1388"/>
      <c r="L49" s="7"/>
    </row>
    <row r="50" spans="1:12" x14ac:dyDescent="0.2">
      <c r="A50" s="511" t="s">
        <v>167</v>
      </c>
      <c r="B50" s="512"/>
      <c r="C50" s="512"/>
      <c r="D50" s="544" t="s">
        <v>42</v>
      </c>
      <c r="E50" s="544"/>
      <c r="F50" s="544"/>
      <c r="G50" s="515"/>
      <c r="H50" s="515"/>
      <c r="I50" s="515"/>
      <c r="J50" s="545"/>
      <c r="K50" s="1388"/>
      <c r="L50" s="7"/>
    </row>
    <row r="51" spans="1:12" ht="45" x14ac:dyDescent="0.2">
      <c r="A51" s="505" t="s">
        <v>672</v>
      </c>
      <c r="B51" s="510">
        <v>83338</v>
      </c>
      <c r="C51" s="510"/>
      <c r="D51" s="509" t="s">
        <v>560</v>
      </c>
      <c r="E51" s="938" t="s">
        <v>517</v>
      </c>
      <c r="F51" s="547">
        <v>14693.14</v>
      </c>
      <c r="G51" s="508">
        <v>2.4</v>
      </c>
      <c r="H51" s="508">
        <v>35263.53</v>
      </c>
      <c r="I51" s="508">
        <v>2.89</v>
      </c>
      <c r="J51" s="547">
        <v>42463.17</v>
      </c>
      <c r="K51" s="1388"/>
      <c r="L51" s="7"/>
    </row>
    <row r="52" spans="1:12" ht="45" x14ac:dyDescent="0.2">
      <c r="A52" s="505" t="s">
        <v>673</v>
      </c>
      <c r="B52" s="510">
        <v>93592</v>
      </c>
      <c r="C52" s="510"/>
      <c r="D52" s="509" t="s">
        <v>664</v>
      </c>
      <c r="E52" s="844" t="s">
        <v>519</v>
      </c>
      <c r="F52" s="547">
        <v>293862.8</v>
      </c>
      <c r="G52" s="532">
        <v>1.1200000000000001</v>
      </c>
      <c r="H52" s="508">
        <v>329126.33</v>
      </c>
      <c r="I52" s="508">
        <v>1.35</v>
      </c>
      <c r="J52" s="547">
        <v>396714.78</v>
      </c>
      <c r="K52" s="1388"/>
      <c r="L52" s="7"/>
    </row>
    <row r="53" spans="1:12" ht="45" x14ac:dyDescent="0.2">
      <c r="A53" s="505" t="s">
        <v>674</v>
      </c>
      <c r="B53" s="510">
        <v>93593</v>
      </c>
      <c r="C53" s="510"/>
      <c r="D53" s="509" t="s">
        <v>665</v>
      </c>
      <c r="E53" s="844" t="s">
        <v>519</v>
      </c>
      <c r="F53" s="547">
        <v>396714.78</v>
      </c>
      <c r="G53" s="532">
        <v>0.75</v>
      </c>
      <c r="H53" s="508">
        <v>297536.08</v>
      </c>
      <c r="I53" s="508">
        <v>0.9</v>
      </c>
      <c r="J53" s="547">
        <v>357043.3</v>
      </c>
      <c r="K53" s="1388"/>
      <c r="L53" s="7"/>
    </row>
    <row r="54" spans="1:12" ht="45" x14ac:dyDescent="0.2">
      <c r="A54" s="505" t="s">
        <v>675</v>
      </c>
      <c r="B54" s="529">
        <v>96387</v>
      </c>
      <c r="C54" s="529"/>
      <c r="D54" s="549" t="s">
        <v>561</v>
      </c>
      <c r="E54" s="938" t="s">
        <v>517</v>
      </c>
      <c r="F54" s="551">
        <v>14693.14</v>
      </c>
      <c r="G54" s="532">
        <v>6.46</v>
      </c>
      <c r="H54" s="532">
        <v>94917.68</v>
      </c>
      <c r="I54" s="508">
        <v>7.79</v>
      </c>
      <c r="J54" s="551">
        <v>114459.56</v>
      </c>
      <c r="K54" s="1388"/>
      <c r="L54" s="7"/>
    </row>
    <row r="55" spans="1:12" x14ac:dyDescent="0.2">
      <c r="A55" s="505" t="s">
        <v>676</v>
      </c>
      <c r="B55" s="479" t="s">
        <v>236</v>
      </c>
      <c r="C55" s="479"/>
      <c r="D55" s="509" t="s">
        <v>235</v>
      </c>
      <c r="E55" s="479" t="s">
        <v>517</v>
      </c>
      <c r="F55" s="518">
        <v>14693.14</v>
      </c>
      <c r="G55" s="508">
        <v>1.65</v>
      </c>
      <c r="H55" s="508">
        <v>24243.68</v>
      </c>
      <c r="I55" s="508">
        <v>1.99</v>
      </c>
      <c r="J55" s="508">
        <v>29239.34</v>
      </c>
      <c r="K55" s="1388"/>
      <c r="L55" s="7"/>
    </row>
    <row r="56" spans="1:12" ht="30" x14ac:dyDescent="0.2">
      <c r="A56" s="505" t="s">
        <v>677</v>
      </c>
      <c r="B56" s="479" t="s">
        <v>239</v>
      </c>
      <c r="C56" s="479"/>
      <c r="D56" s="509" t="s">
        <v>238</v>
      </c>
      <c r="E56" s="510" t="s">
        <v>48</v>
      </c>
      <c r="F56" s="518">
        <v>10</v>
      </c>
      <c r="G56" s="508">
        <v>172.27</v>
      </c>
      <c r="H56" s="508">
        <v>1722.7</v>
      </c>
      <c r="I56" s="508">
        <v>207.92</v>
      </c>
      <c r="J56" s="508">
        <v>2079.1999999999998</v>
      </c>
      <c r="K56" s="1388"/>
      <c r="L56" s="7"/>
    </row>
    <row r="57" spans="1:12" x14ac:dyDescent="0.2">
      <c r="A57" s="505" t="s">
        <v>678</v>
      </c>
      <c r="B57" s="479" t="s">
        <v>242</v>
      </c>
      <c r="C57" s="479"/>
      <c r="D57" s="509" t="s">
        <v>241</v>
      </c>
      <c r="E57" s="510" t="s">
        <v>48</v>
      </c>
      <c r="F57" s="518">
        <v>10</v>
      </c>
      <c r="G57" s="508">
        <v>133.12</v>
      </c>
      <c r="H57" s="508">
        <v>1331.2</v>
      </c>
      <c r="I57" s="508">
        <v>160.66999999999999</v>
      </c>
      <c r="J57" s="508">
        <v>1606.7</v>
      </c>
      <c r="K57" s="1388"/>
      <c r="L57" s="7"/>
    </row>
    <row r="58" spans="1:12" ht="15" customHeight="1" x14ac:dyDescent="0.2">
      <c r="A58" s="505" t="s">
        <v>679</v>
      </c>
      <c r="B58" s="1385" t="s">
        <v>549</v>
      </c>
      <c r="C58" s="1386"/>
      <c r="D58" s="549" t="s">
        <v>628</v>
      </c>
      <c r="E58" s="548" t="s">
        <v>516</v>
      </c>
      <c r="F58" s="551">
        <v>37813.870000000003</v>
      </c>
      <c r="G58" s="532">
        <v>5.75</v>
      </c>
      <c r="H58" s="532">
        <v>217429.75</v>
      </c>
      <c r="I58" s="508">
        <v>6.94</v>
      </c>
      <c r="J58" s="551">
        <v>262428.25</v>
      </c>
      <c r="K58" s="1388"/>
      <c r="L58" s="7"/>
    </row>
    <row r="59" spans="1:12" ht="30" x14ac:dyDescent="0.2">
      <c r="A59" s="505" t="s">
        <v>680</v>
      </c>
      <c r="B59" s="1385" t="s">
        <v>548</v>
      </c>
      <c r="C59" s="1386"/>
      <c r="D59" s="549" t="s">
        <v>624</v>
      </c>
      <c r="E59" s="548" t="s">
        <v>516</v>
      </c>
      <c r="F59" s="551">
        <v>37813.870000000003</v>
      </c>
      <c r="G59" s="532">
        <v>10.75</v>
      </c>
      <c r="H59" s="532">
        <v>406499.1</v>
      </c>
      <c r="I59" s="508">
        <v>12.97</v>
      </c>
      <c r="J59" s="551">
        <v>490445.89</v>
      </c>
      <c r="K59" s="1388"/>
      <c r="L59" s="7"/>
    </row>
    <row r="60" spans="1:12" ht="60" x14ac:dyDescent="0.2">
      <c r="A60" s="505" t="s">
        <v>681</v>
      </c>
      <c r="B60" s="529">
        <v>93176</v>
      </c>
      <c r="C60" s="529"/>
      <c r="D60" s="549" t="s">
        <v>659</v>
      </c>
      <c r="E60" s="550" t="s">
        <v>248</v>
      </c>
      <c r="F60" s="551">
        <v>92699.1</v>
      </c>
      <c r="G60" s="532">
        <v>0.5</v>
      </c>
      <c r="H60" s="532">
        <v>46349.55</v>
      </c>
      <c r="I60" s="508">
        <v>0.6</v>
      </c>
      <c r="J60" s="551">
        <v>55619.46</v>
      </c>
      <c r="K60" s="1388"/>
      <c r="L60" s="7"/>
    </row>
    <row r="61" spans="1:12" ht="45" x14ac:dyDescent="0.2">
      <c r="A61" s="505" t="s">
        <v>682</v>
      </c>
      <c r="B61" s="529">
        <v>93599</v>
      </c>
      <c r="C61" s="529"/>
      <c r="D61" s="549" t="s">
        <v>666</v>
      </c>
      <c r="E61" s="550" t="s">
        <v>248</v>
      </c>
      <c r="F61" s="551">
        <v>187179.17</v>
      </c>
      <c r="G61" s="532">
        <v>0.5</v>
      </c>
      <c r="H61" s="532">
        <v>93589.58</v>
      </c>
      <c r="I61" s="508">
        <v>0.6</v>
      </c>
      <c r="J61" s="551">
        <v>112307.5</v>
      </c>
      <c r="K61" s="1388"/>
      <c r="L61" s="7"/>
    </row>
    <row r="62" spans="1:12" ht="60" x14ac:dyDescent="0.2">
      <c r="A62" s="505" t="s">
        <v>695</v>
      </c>
      <c r="B62" s="510">
        <v>94267</v>
      </c>
      <c r="C62" s="510"/>
      <c r="D62" s="535" t="s">
        <v>420</v>
      </c>
      <c r="E62" s="510" t="s">
        <v>518</v>
      </c>
      <c r="F62" s="525">
        <v>9583.57</v>
      </c>
      <c r="G62" s="508">
        <v>37.35</v>
      </c>
      <c r="H62" s="508">
        <v>357946.33</v>
      </c>
      <c r="I62" s="508">
        <v>45.08</v>
      </c>
      <c r="J62" s="525">
        <v>432027.33</v>
      </c>
      <c r="K62" s="1388"/>
      <c r="L62" s="7"/>
    </row>
    <row r="63" spans="1:12" x14ac:dyDescent="0.2">
      <c r="A63" s="511"/>
      <c r="B63" s="520"/>
      <c r="C63" s="520"/>
      <c r="D63" s="521" t="s">
        <v>7</v>
      </c>
      <c r="E63" s="520"/>
      <c r="F63" s="523"/>
      <c r="G63" s="522"/>
      <c r="H63" s="515"/>
      <c r="I63" s="515"/>
      <c r="J63" s="523">
        <v>2296434.48</v>
      </c>
      <c r="K63" s="1388"/>
      <c r="L63" s="7"/>
    </row>
    <row r="64" spans="1:12" x14ac:dyDescent="0.2">
      <c r="A64" s="511" t="s">
        <v>168</v>
      </c>
      <c r="B64" s="512"/>
      <c r="C64" s="512"/>
      <c r="D64" s="537" t="s">
        <v>694</v>
      </c>
      <c r="E64" s="520"/>
      <c r="F64" s="521"/>
      <c r="G64" s="522"/>
      <c r="H64" s="515"/>
      <c r="I64" s="515"/>
      <c r="J64" s="545"/>
      <c r="K64" s="1388"/>
      <c r="L64" s="7"/>
    </row>
    <row r="65" spans="1:14" ht="45" x14ac:dyDescent="0.2">
      <c r="A65" s="505" t="s">
        <v>683</v>
      </c>
      <c r="B65" s="510">
        <v>97083</v>
      </c>
      <c r="C65" s="510"/>
      <c r="D65" s="535" t="s">
        <v>693</v>
      </c>
      <c r="E65" s="938" t="s">
        <v>516</v>
      </c>
      <c r="F65" s="525">
        <v>14315.67</v>
      </c>
      <c r="G65" s="508">
        <v>2.4900000000000002</v>
      </c>
      <c r="H65" s="508">
        <v>35646.01</v>
      </c>
      <c r="I65" s="508">
        <v>3</v>
      </c>
      <c r="J65" s="525">
        <v>42947.01</v>
      </c>
      <c r="K65" s="1388"/>
      <c r="L65" s="7"/>
      <c r="N65" s="367"/>
    </row>
    <row r="66" spans="1:14" ht="45" x14ac:dyDescent="0.2">
      <c r="A66" s="505" t="s">
        <v>684</v>
      </c>
      <c r="B66" s="510">
        <v>94990</v>
      </c>
      <c r="C66" s="510"/>
      <c r="D66" s="535" t="s">
        <v>423</v>
      </c>
      <c r="E66" s="938" t="s">
        <v>517</v>
      </c>
      <c r="F66" s="525">
        <v>1002.04</v>
      </c>
      <c r="G66" s="508">
        <v>568.48</v>
      </c>
      <c r="H66" s="508">
        <v>569639.68999999994</v>
      </c>
      <c r="I66" s="508">
        <v>686.15</v>
      </c>
      <c r="J66" s="525">
        <v>687549.74</v>
      </c>
      <c r="K66" s="1388"/>
      <c r="L66" s="7"/>
      <c r="N66" s="367"/>
    </row>
    <row r="67" spans="1:14" ht="45" x14ac:dyDescent="0.2">
      <c r="A67" s="505" t="s">
        <v>706</v>
      </c>
      <c r="B67" s="529">
        <v>93599</v>
      </c>
      <c r="C67" s="529"/>
      <c r="D67" s="549" t="s">
        <v>666</v>
      </c>
      <c r="E67" s="550" t="s">
        <v>248</v>
      </c>
      <c r="F67" s="525">
        <v>156959</v>
      </c>
      <c r="G67" s="532">
        <v>0.5</v>
      </c>
      <c r="H67" s="532">
        <v>78479.5</v>
      </c>
      <c r="I67" s="508">
        <v>0.6</v>
      </c>
      <c r="J67" s="551">
        <v>94175.4</v>
      </c>
      <c r="K67" s="1388"/>
      <c r="L67" s="7"/>
      <c r="N67" s="367"/>
    </row>
    <row r="68" spans="1:14" x14ac:dyDescent="0.2">
      <c r="A68" s="552"/>
      <c r="B68" s="512"/>
      <c r="C68" s="512"/>
      <c r="D68" s="521" t="s">
        <v>7</v>
      </c>
      <c r="E68" s="520"/>
      <c r="F68" s="523"/>
      <c r="G68" s="522"/>
      <c r="H68" s="515"/>
      <c r="I68" s="515"/>
      <c r="J68" s="523">
        <v>824672.15</v>
      </c>
      <c r="K68" s="1388"/>
      <c r="L68" s="7"/>
      <c r="N68" s="367"/>
    </row>
    <row r="69" spans="1:14" x14ac:dyDescent="0.2">
      <c r="A69" s="511" t="s">
        <v>169</v>
      </c>
      <c r="B69" s="512"/>
      <c r="C69" s="512"/>
      <c r="D69" s="544" t="s">
        <v>584</v>
      </c>
      <c r="E69" s="544"/>
      <c r="F69" s="544"/>
      <c r="G69" s="515"/>
      <c r="H69" s="515"/>
      <c r="I69" s="515"/>
      <c r="J69" s="545"/>
      <c r="K69" s="1388"/>
      <c r="L69" s="7"/>
      <c r="N69" s="367"/>
    </row>
    <row r="70" spans="1:14" ht="30" x14ac:dyDescent="0.2">
      <c r="A70" s="528" t="s">
        <v>685</v>
      </c>
      <c r="B70" s="1385" t="s">
        <v>551</v>
      </c>
      <c r="C70" s="1386"/>
      <c r="D70" s="530" t="s">
        <v>533</v>
      </c>
      <c r="E70" s="529" t="s">
        <v>48</v>
      </c>
      <c r="F70" s="558">
        <v>70</v>
      </c>
      <c r="G70" s="559">
        <v>93.64</v>
      </c>
      <c r="H70" s="560">
        <v>6554.8</v>
      </c>
      <c r="I70" s="508">
        <v>113.02</v>
      </c>
      <c r="J70" s="531">
        <v>7911.4</v>
      </c>
      <c r="K70" s="1388"/>
      <c r="L70" s="7"/>
      <c r="N70" s="367"/>
    </row>
    <row r="71" spans="1:14" ht="30" x14ac:dyDescent="0.2">
      <c r="A71" s="528" t="s">
        <v>686</v>
      </c>
      <c r="B71" s="1385" t="s">
        <v>552</v>
      </c>
      <c r="C71" s="1386"/>
      <c r="D71" s="530" t="s">
        <v>542</v>
      </c>
      <c r="E71" s="529" t="s">
        <v>516</v>
      </c>
      <c r="F71" s="558">
        <v>16.62</v>
      </c>
      <c r="G71" s="559">
        <v>561.69000000000005</v>
      </c>
      <c r="H71" s="560">
        <v>9335.2800000000007</v>
      </c>
      <c r="I71" s="508">
        <v>677.95</v>
      </c>
      <c r="J71" s="531">
        <v>11267.52</v>
      </c>
      <c r="K71" s="1388"/>
      <c r="L71" s="7"/>
      <c r="N71" s="367"/>
    </row>
    <row r="72" spans="1:14" ht="30" x14ac:dyDescent="0.2">
      <c r="A72" s="528" t="s">
        <v>687</v>
      </c>
      <c r="B72" s="510">
        <v>72947</v>
      </c>
      <c r="C72" s="510"/>
      <c r="D72" s="530" t="s">
        <v>520</v>
      </c>
      <c r="E72" s="529" t="s">
        <v>516</v>
      </c>
      <c r="F72" s="558">
        <v>2293.63</v>
      </c>
      <c r="G72" s="559">
        <v>26.58</v>
      </c>
      <c r="H72" s="560">
        <v>60964.68</v>
      </c>
      <c r="I72" s="508">
        <v>32.08</v>
      </c>
      <c r="J72" s="531">
        <v>73579.649999999994</v>
      </c>
      <c r="K72" s="1388"/>
      <c r="L72" s="7"/>
    </row>
    <row r="73" spans="1:14" ht="45" x14ac:dyDescent="0.2">
      <c r="A73" s="528" t="s">
        <v>282</v>
      </c>
      <c r="B73" s="1385" t="s">
        <v>550</v>
      </c>
      <c r="C73" s="1386"/>
      <c r="D73" s="530" t="s">
        <v>704</v>
      </c>
      <c r="E73" s="529" t="s">
        <v>516</v>
      </c>
      <c r="F73" s="558">
        <v>120.96</v>
      </c>
      <c r="G73" s="559">
        <v>119.99</v>
      </c>
      <c r="H73" s="560">
        <v>14513.99</v>
      </c>
      <c r="I73" s="508">
        <v>144.82</v>
      </c>
      <c r="J73" s="531">
        <v>17517.419999999998</v>
      </c>
      <c r="K73" s="1388"/>
      <c r="L73" s="7"/>
      <c r="N73" s="261">
        <f>J63+J49+J16+J13</f>
        <v>2751229.67</v>
      </c>
    </row>
    <row r="74" spans="1:14" x14ac:dyDescent="0.2">
      <c r="A74" s="511"/>
      <c r="B74" s="512"/>
      <c r="C74" s="512"/>
      <c r="D74" s="521" t="s">
        <v>7</v>
      </c>
      <c r="E74" s="520"/>
      <c r="F74" s="523"/>
      <c r="G74" s="522"/>
      <c r="H74" s="515"/>
      <c r="I74" s="515"/>
      <c r="J74" s="523">
        <v>110275.99</v>
      </c>
      <c r="K74" s="1388"/>
      <c r="L74" s="7"/>
    </row>
    <row r="75" spans="1:14" x14ac:dyDescent="0.2">
      <c r="A75" s="511" t="s">
        <v>170</v>
      </c>
      <c r="B75" s="512"/>
      <c r="C75" s="512"/>
      <c r="D75" s="544" t="s">
        <v>585</v>
      </c>
      <c r="E75" s="544"/>
      <c r="F75" s="544"/>
      <c r="G75" s="515"/>
      <c r="H75" s="515"/>
      <c r="I75" s="515"/>
      <c r="J75" s="545"/>
      <c r="K75" s="1388"/>
      <c r="L75" s="7"/>
    </row>
    <row r="76" spans="1:14" ht="30" x14ac:dyDescent="0.2">
      <c r="A76" s="528" t="s">
        <v>688</v>
      </c>
      <c r="B76" s="1385" t="s">
        <v>551</v>
      </c>
      <c r="C76" s="1386"/>
      <c r="D76" s="530" t="s">
        <v>533</v>
      </c>
      <c r="E76" s="529" t="s">
        <v>48</v>
      </c>
      <c r="F76" s="558">
        <v>32</v>
      </c>
      <c r="G76" s="559">
        <v>93.64</v>
      </c>
      <c r="H76" s="560">
        <v>2996.48</v>
      </c>
      <c r="I76" s="508">
        <v>113.02</v>
      </c>
      <c r="J76" s="531">
        <v>3616.64</v>
      </c>
      <c r="K76" s="1388"/>
      <c r="L76" s="7"/>
    </row>
    <row r="77" spans="1:14" ht="30" x14ac:dyDescent="0.2">
      <c r="A77" s="528" t="s">
        <v>689</v>
      </c>
      <c r="B77" s="510" t="s">
        <v>521</v>
      </c>
      <c r="C77" s="510"/>
      <c r="D77" s="530" t="s">
        <v>522</v>
      </c>
      <c r="E77" s="529" t="s">
        <v>48</v>
      </c>
      <c r="F77" s="558">
        <v>64</v>
      </c>
      <c r="G77" s="559">
        <v>86.48</v>
      </c>
      <c r="H77" s="560">
        <v>5534.72</v>
      </c>
      <c r="I77" s="508">
        <v>104.38</v>
      </c>
      <c r="J77" s="531">
        <v>6680.32</v>
      </c>
      <c r="K77" s="1388"/>
      <c r="L77" s="7"/>
    </row>
    <row r="78" spans="1:14" x14ac:dyDescent="0.2">
      <c r="A78" s="511"/>
      <c r="B78" s="512"/>
      <c r="C78" s="512"/>
      <c r="D78" s="521" t="s">
        <v>7</v>
      </c>
      <c r="E78" s="520"/>
      <c r="F78" s="558"/>
      <c r="G78" s="522"/>
      <c r="H78" s="515"/>
      <c r="I78" s="515"/>
      <c r="J78" s="523">
        <v>10296.959999999999</v>
      </c>
      <c r="K78" s="1388"/>
      <c r="L78" s="7"/>
    </row>
    <row r="79" spans="1:14" ht="38.25" customHeight="1" thickBot="1" x14ac:dyDescent="0.25">
      <c r="A79" s="1383" t="s">
        <v>150</v>
      </c>
      <c r="B79" s="1384"/>
      <c r="C79" s="1384"/>
      <c r="D79" s="1384"/>
      <c r="E79" s="1384"/>
      <c r="F79" s="1384"/>
      <c r="G79" s="1384"/>
      <c r="H79" s="1384"/>
      <c r="I79" s="1384"/>
      <c r="J79" s="561">
        <v>4874985.17</v>
      </c>
      <c r="K79" s="562">
        <v>1</v>
      </c>
      <c r="M79" s="261">
        <f>J74+J68+J63+J49+J42+J39+J34+J28+J20+J16+J13+J78</f>
        <v>4874985.17</v>
      </c>
      <c r="N79" s="367">
        <v>2048022.56</v>
      </c>
    </row>
    <row r="80" spans="1:14" ht="69" customHeight="1" x14ac:dyDescent="0.2"/>
    <row r="81" spans="1:15" x14ac:dyDescent="0.2">
      <c r="B81" s="263" t="str">
        <f>Terrap.!B28</f>
        <v>ROBSON DARCIO SOUSA</v>
      </c>
    </row>
    <row r="82" spans="1:15" x14ac:dyDescent="0.2">
      <c r="A82" s="246"/>
      <c r="B82" s="262" t="str">
        <f>Terrap.!B29</f>
        <v>ENGº CIVIL CREA: 120.263.916-0</v>
      </c>
      <c r="C82" s="246"/>
      <c r="M82" s="264"/>
      <c r="N82" s="261">
        <f>J79/F45</f>
        <v>116.13</v>
      </c>
    </row>
    <row r="83" spans="1:15" x14ac:dyDescent="0.2">
      <c r="A83" s="246"/>
      <c r="B83" s="246"/>
      <c r="C83" s="246"/>
      <c r="M83" s="264"/>
      <c r="O83" s="261"/>
    </row>
    <row r="84" spans="1:15" x14ac:dyDescent="0.2">
      <c r="A84" s="246"/>
      <c r="B84" s="246"/>
      <c r="C84" s="246"/>
      <c r="M84" s="261"/>
    </row>
    <row r="85" spans="1:15" x14ac:dyDescent="0.2">
      <c r="A85" s="246"/>
      <c r="B85" s="246"/>
      <c r="C85" s="246"/>
    </row>
    <row r="86" spans="1:15" x14ac:dyDescent="0.2">
      <c r="A86" s="246"/>
      <c r="B86" s="246"/>
      <c r="C86" s="246"/>
    </row>
    <row r="87" spans="1:15" x14ac:dyDescent="0.2">
      <c r="A87" s="246"/>
      <c r="B87" s="246"/>
      <c r="C87" s="246"/>
      <c r="K87" s="472" t="s">
        <v>387</v>
      </c>
      <c r="M87" s="367">
        <v>1482100</v>
      </c>
    </row>
    <row r="88" spans="1:15" x14ac:dyDescent="0.2">
      <c r="A88" s="246"/>
      <c r="B88" s="246"/>
      <c r="C88" s="246"/>
      <c r="K88" s="472" t="s">
        <v>386</v>
      </c>
      <c r="M88" s="367">
        <v>25000</v>
      </c>
    </row>
    <row r="89" spans="1:15" x14ac:dyDescent="0.2">
      <c r="A89" s="246"/>
      <c r="B89" s="246"/>
      <c r="C89" s="246"/>
      <c r="K89" s="472" t="s">
        <v>345</v>
      </c>
      <c r="M89" s="612">
        <f>SUM(M87:M88)</f>
        <v>1507100</v>
      </c>
    </row>
    <row r="90" spans="1:15" x14ac:dyDescent="0.2">
      <c r="A90" s="246"/>
      <c r="B90" s="246"/>
      <c r="C90" s="246"/>
      <c r="M90" s="261">
        <f>M89-J79</f>
        <v>-3367885.17</v>
      </c>
    </row>
  </sheetData>
  <mergeCells count="26">
    <mergeCell ref="A1:C2"/>
    <mergeCell ref="M5:O6"/>
    <mergeCell ref="F6:G6"/>
    <mergeCell ref="H6:I6"/>
    <mergeCell ref="A7:K7"/>
    <mergeCell ref="D1:K1"/>
    <mergeCell ref="D2:K2"/>
    <mergeCell ref="B6:E6"/>
    <mergeCell ref="B15:C15"/>
    <mergeCell ref="H3:K5"/>
    <mergeCell ref="B3:E3"/>
    <mergeCell ref="B4:E4"/>
    <mergeCell ref="B5:E5"/>
    <mergeCell ref="K44:K78"/>
    <mergeCell ref="K18:K42"/>
    <mergeCell ref="M8:O8"/>
    <mergeCell ref="K15:K16"/>
    <mergeCell ref="F3:G5"/>
    <mergeCell ref="K10:K13"/>
    <mergeCell ref="A79:I79"/>
    <mergeCell ref="B58:C58"/>
    <mergeCell ref="B59:C59"/>
    <mergeCell ref="B73:C73"/>
    <mergeCell ref="B70:C70"/>
    <mergeCell ref="B71:C71"/>
    <mergeCell ref="B76:C76"/>
  </mergeCells>
  <phoneticPr fontId="0" type="noConversion"/>
  <pageMargins left="0.19685039370078741" right="0.19685039370078741" top="0.39370078740157483" bottom="0.39370078740157483" header="0.31496062992125984" footer="0.31496062992125984"/>
  <pageSetup paperSize="9" scale="76" fitToHeight="0" orientation="landscape" r:id="rId1"/>
  <headerFooter alignWithMargins="0"/>
  <rowBreaks count="3" manualBreakCount="3">
    <brk id="36" max="10" man="1"/>
    <brk id="52" max="10" man="1"/>
    <brk id="68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H83"/>
  <sheetViews>
    <sheetView view="pageBreakPreview" zoomScale="115" zoomScaleSheetLayoutView="115" workbookViewId="0">
      <selection activeCell="H3" sqref="H3"/>
    </sheetView>
  </sheetViews>
  <sheetFormatPr defaultRowHeight="12.75" x14ac:dyDescent="0.2"/>
  <cols>
    <col min="1" max="1" width="10" style="109" customWidth="1"/>
    <col min="2" max="2" width="62.42578125" style="109" customWidth="1"/>
    <col min="3" max="3" width="15.5703125" style="109" customWidth="1"/>
    <col min="4" max="4" width="14.28515625" style="109" customWidth="1"/>
    <col min="5" max="5" width="16.5703125" style="109" customWidth="1"/>
    <col min="6" max="6" width="13.140625" style="109" customWidth="1"/>
    <col min="7" max="7" width="13.85546875" style="109" customWidth="1"/>
    <col min="8" max="8" width="12.85546875" style="109" bestFit="1" customWidth="1"/>
    <col min="9" max="16384" width="9.140625" style="109"/>
  </cols>
  <sheetData>
    <row r="1" spans="1:6" ht="48" customHeight="1" x14ac:dyDescent="0.2">
      <c r="A1" s="1426" t="s">
        <v>556</v>
      </c>
      <c r="B1" s="1427"/>
      <c r="C1" s="1369" t="s">
        <v>54</v>
      </c>
      <c r="D1" s="1369"/>
      <c r="E1" s="1369"/>
      <c r="F1" s="1370"/>
    </row>
    <row r="2" spans="1:6" ht="48" customHeight="1" x14ac:dyDescent="0.2">
      <c r="A2" s="1428"/>
      <c r="B2" s="1429"/>
      <c r="C2" s="1371" t="s">
        <v>630</v>
      </c>
      <c r="D2" s="1371"/>
      <c r="E2" s="1371"/>
      <c r="F2" s="1372"/>
    </row>
    <row r="3" spans="1:6" s="400" customFormat="1" ht="15" x14ac:dyDescent="0.2">
      <c r="A3" s="394" t="s">
        <v>8</v>
      </c>
      <c r="B3" s="426" t="s">
        <v>663</v>
      </c>
      <c r="C3" s="426"/>
      <c r="D3" s="1433" t="s">
        <v>60</v>
      </c>
      <c r="E3" s="1433"/>
      <c r="F3" s="259" t="s">
        <v>59</v>
      </c>
    </row>
    <row r="4" spans="1:6" s="400" customFormat="1" ht="15" x14ac:dyDescent="0.2">
      <c r="A4" s="394" t="s">
        <v>22</v>
      </c>
      <c r="B4" s="426" t="s">
        <v>629</v>
      </c>
      <c r="C4" s="480" t="s">
        <v>374</v>
      </c>
      <c r="D4" s="991" t="s">
        <v>703</v>
      </c>
      <c r="E4" s="991"/>
      <c r="F4" s="1379">
        <v>0.20699999999999999</v>
      </c>
    </row>
    <row r="5" spans="1:6" s="400" customFormat="1" ht="15" x14ac:dyDescent="0.2">
      <c r="A5" s="399" t="s">
        <v>57</v>
      </c>
      <c r="B5" s="426" t="s">
        <v>630</v>
      </c>
      <c r="C5" s="1381" t="s">
        <v>701</v>
      </c>
      <c r="D5" s="991"/>
      <c r="E5" s="991"/>
      <c r="F5" s="1379"/>
    </row>
    <row r="6" spans="1:6" s="400" customFormat="1" ht="15.75" thickBot="1" x14ac:dyDescent="0.25">
      <c r="A6" s="396" t="s">
        <v>43</v>
      </c>
      <c r="B6" s="427">
        <v>41980.480000000003</v>
      </c>
      <c r="C6" s="1382"/>
      <c r="D6" s="993"/>
      <c r="E6" s="993"/>
      <c r="F6" s="1380"/>
    </row>
    <row r="7" spans="1:6" ht="25.5" customHeight="1" thickBot="1" x14ac:dyDescent="0.25">
      <c r="A7" s="1416" t="s">
        <v>19</v>
      </c>
      <c r="B7" s="1417"/>
      <c r="C7" s="1417"/>
      <c r="D7" s="1417"/>
      <c r="E7" s="1432"/>
      <c r="F7" s="1418"/>
    </row>
    <row r="8" spans="1:6" ht="19.5" customHeight="1" x14ac:dyDescent="0.2">
      <c r="A8" s="616" t="s">
        <v>0</v>
      </c>
      <c r="B8" s="1430" t="s">
        <v>20</v>
      </c>
      <c r="C8" s="1430"/>
      <c r="D8" s="1430"/>
      <c r="E8" s="617" t="s">
        <v>21</v>
      </c>
      <c r="F8" s="618" t="s">
        <v>15</v>
      </c>
    </row>
    <row r="9" spans="1:6" ht="19.5" customHeight="1" x14ac:dyDescent="0.2">
      <c r="A9" s="619"/>
      <c r="B9" s="1424"/>
      <c r="C9" s="1424"/>
      <c r="D9" s="1424"/>
      <c r="E9" s="620"/>
      <c r="F9" s="621"/>
    </row>
    <row r="10" spans="1:6" ht="19.5" customHeight="1" x14ac:dyDescent="0.2">
      <c r="A10" s="622">
        <v>1</v>
      </c>
      <c r="B10" s="1431" t="s">
        <v>30</v>
      </c>
      <c r="C10" s="1431"/>
      <c r="D10" s="1431"/>
      <c r="E10" s="623">
        <v>32567.75</v>
      </c>
      <c r="F10" s="624">
        <v>6.7000000000000002E-3</v>
      </c>
    </row>
    <row r="11" spans="1:6" ht="19.5" customHeight="1" x14ac:dyDescent="0.2">
      <c r="A11" s="625"/>
      <c r="B11" s="1424"/>
      <c r="C11" s="1424"/>
      <c r="D11" s="1424"/>
      <c r="E11" s="620"/>
      <c r="F11" s="624"/>
    </row>
    <row r="12" spans="1:6" ht="19.5" customHeight="1" x14ac:dyDescent="0.2">
      <c r="A12" s="622">
        <v>2</v>
      </c>
      <c r="B12" s="1431" t="s">
        <v>553</v>
      </c>
      <c r="C12" s="1431"/>
      <c r="D12" s="1431"/>
      <c r="E12" s="623">
        <v>230672.18</v>
      </c>
      <c r="F12" s="624">
        <v>4.7300000000000002E-2</v>
      </c>
    </row>
    <row r="13" spans="1:6" ht="19.5" customHeight="1" x14ac:dyDescent="0.2">
      <c r="A13" s="625"/>
      <c r="B13" s="1424"/>
      <c r="C13" s="1424"/>
      <c r="D13" s="1424"/>
      <c r="E13" s="620"/>
      <c r="F13" s="624"/>
    </row>
    <row r="14" spans="1:6" ht="19.5" customHeight="1" x14ac:dyDescent="0.2">
      <c r="A14" s="622">
        <v>3</v>
      </c>
      <c r="B14" s="1431" t="s">
        <v>49</v>
      </c>
      <c r="C14" s="1431"/>
      <c r="D14" s="1431"/>
      <c r="E14" s="620"/>
      <c r="F14" s="624"/>
    </row>
    <row r="15" spans="1:6" ht="19.5" customHeight="1" x14ac:dyDescent="0.2">
      <c r="A15" s="626" t="s">
        <v>25</v>
      </c>
      <c r="B15" s="1425" t="s">
        <v>30</v>
      </c>
      <c r="C15" s="1425"/>
      <c r="D15" s="1425"/>
      <c r="E15" s="627">
        <v>3299.43</v>
      </c>
      <c r="F15" s="624">
        <v>6.9999999999999999E-4</v>
      </c>
    </row>
    <row r="16" spans="1:6" ht="19.5" customHeight="1" x14ac:dyDescent="0.2">
      <c r="A16" s="626" t="s">
        <v>26</v>
      </c>
      <c r="B16" s="1425" t="s">
        <v>132</v>
      </c>
      <c r="C16" s="1425"/>
      <c r="D16" s="1425"/>
      <c r="E16" s="627">
        <v>238172.96</v>
      </c>
      <c r="F16" s="624">
        <v>4.8899999999999999E-2</v>
      </c>
    </row>
    <row r="17" spans="1:8" ht="19.5" customHeight="1" x14ac:dyDescent="0.2">
      <c r="A17" s="626" t="s">
        <v>27</v>
      </c>
      <c r="B17" s="1425" t="s">
        <v>133</v>
      </c>
      <c r="C17" s="1425"/>
      <c r="D17" s="1425"/>
      <c r="E17" s="627">
        <v>775193.61</v>
      </c>
      <c r="F17" s="624">
        <v>0.159</v>
      </c>
    </row>
    <row r="18" spans="1:8" ht="19.5" customHeight="1" x14ac:dyDescent="0.2">
      <c r="A18" s="626" t="s">
        <v>28</v>
      </c>
      <c r="B18" s="1425" t="s">
        <v>50</v>
      </c>
      <c r="C18" s="1425"/>
      <c r="D18" s="1425"/>
      <c r="E18" s="627">
        <v>159528.75</v>
      </c>
      <c r="F18" s="624">
        <v>3.27E-2</v>
      </c>
    </row>
    <row r="19" spans="1:8" ht="19.5" customHeight="1" x14ac:dyDescent="0.2">
      <c r="A19" s="626" t="s">
        <v>29</v>
      </c>
      <c r="B19" s="1425" t="s">
        <v>51</v>
      </c>
      <c r="C19" s="1425"/>
      <c r="D19" s="1425"/>
      <c r="E19" s="627">
        <v>2315.65</v>
      </c>
      <c r="F19" s="624">
        <v>5.0000000000000001E-4</v>
      </c>
    </row>
    <row r="20" spans="1:8" ht="19.5" customHeight="1" x14ac:dyDescent="0.2">
      <c r="A20" s="625"/>
      <c r="B20" s="1424"/>
      <c r="C20" s="1424"/>
      <c r="D20" s="1424"/>
      <c r="E20" s="627"/>
      <c r="F20" s="624"/>
    </row>
    <row r="21" spans="1:8" ht="19.5" customHeight="1" x14ac:dyDescent="0.2">
      <c r="A21" s="622">
        <v>4</v>
      </c>
      <c r="B21" s="1431" t="s">
        <v>218</v>
      </c>
      <c r="C21" s="1431"/>
      <c r="D21" s="1431"/>
      <c r="E21" s="620"/>
      <c r="F21" s="624"/>
    </row>
    <row r="22" spans="1:8" ht="19.5" customHeight="1" x14ac:dyDescent="0.2">
      <c r="A22" s="626" t="s">
        <v>166</v>
      </c>
      <c r="B22" s="1424" t="s">
        <v>346</v>
      </c>
      <c r="C22" s="1424"/>
      <c r="D22" s="1424"/>
      <c r="E22" s="628">
        <v>191555.26</v>
      </c>
      <c r="F22" s="624">
        <v>3.9300000000000002E-2</v>
      </c>
    </row>
    <row r="23" spans="1:8" ht="19.5" customHeight="1" x14ac:dyDescent="0.2">
      <c r="A23" s="626" t="s">
        <v>167</v>
      </c>
      <c r="B23" s="1424" t="s">
        <v>42</v>
      </c>
      <c r="C23" s="1424"/>
      <c r="D23" s="1424"/>
      <c r="E23" s="627">
        <v>2296434.48</v>
      </c>
      <c r="F23" s="624">
        <v>0.47110000000000002</v>
      </c>
      <c r="H23" s="471">
        <v>2751229.67</v>
      </c>
    </row>
    <row r="24" spans="1:8" ht="19.5" customHeight="1" x14ac:dyDescent="0.2">
      <c r="A24" s="626" t="s">
        <v>168</v>
      </c>
      <c r="B24" s="1424" t="s">
        <v>694</v>
      </c>
      <c r="C24" s="1424"/>
      <c r="D24" s="1424"/>
      <c r="E24" s="628">
        <v>824672.15</v>
      </c>
      <c r="F24" s="624">
        <v>0.16919999999999999</v>
      </c>
    </row>
    <row r="25" spans="1:8" ht="19.5" customHeight="1" x14ac:dyDescent="0.2">
      <c r="A25" s="626" t="s">
        <v>169</v>
      </c>
      <c r="B25" s="1424" t="s">
        <v>584</v>
      </c>
      <c r="C25" s="1424"/>
      <c r="D25" s="1424"/>
      <c r="E25" s="628">
        <v>110275.99</v>
      </c>
      <c r="F25" s="624">
        <v>2.2599999999999999E-2</v>
      </c>
    </row>
    <row r="26" spans="1:8" ht="19.5" customHeight="1" x14ac:dyDescent="0.2">
      <c r="A26" s="626" t="s">
        <v>170</v>
      </c>
      <c r="B26" s="1424" t="s">
        <v>585</v>
      </c>
      <c r="C26" s="1424"/>
      <c r="D26" s="1424"/>
      <c r="E26" s="628">
        <v>10296.959999999999</v>
      </c>
      <c r="F26" s="624">
        <v>2.0999999999999999E-3</v>
      </c>
    </row>
    <row r="27" spans="1:8" ht="19.5" customHeight="1" x14ac:dyDescent="0.2">
      <c r="A27" s="625"/>
      <c r="B27" s="1424"/>
      <c r="C27" s="1424"/>
      <c r="D27" s="1424"/>
      <c r="E27" s="627"/>
      <c r="F27" s="624"/>
    </row>
    <row r="28" spans="1:8" ht="27" customHeight="1" thickBot="1" x14ac:dyDescent="0.25">
      <c r="A28" s="629"/>
      <c r="B28" s="1434" t="s">
        <v>13</v>
      </c>
      <c r="C28" s="1434"/>
      <c r="D28" s="1434"/>
      <c r="E28" s="630">
        <v>4874985.17</v>
      </c>
      <c r="F28" s="631">
        <v>1</v>
      </c>
    </row>
    <row r="29" spans="1:8" x14ac:dyDescent="0.2">
      <c r="A29" s="476"/>
      <c r="F29" s="613"/>
      <c r="H29" s="614"/>
    </row>
    <row r="30" spans="1:8" x14ac:dyDescent="0.2">
      <c r="A30" s="476"/>
      <c r="E30" s="365"/>
      <c r="F30" s="613"/>
    </row>
    <row r="31" spans="1:8" ht="14.25" x14ac:dyDescent="0.2">
      <c r="A31" s="476"/>
      <c r="C31" s="300"/>
      <c r="D31" s="300"/>
      <c r="F31" s="613"/>
    </row>
    <row r="32" spans="1:8" x14ac:dyDescent="0.2">
      <c r="A32" s="476"/>
      <c r="C32" s="615"/>
      <c r="D32" s="615"/>
      <c r="F32" s="613"/>
    </row>
    <row r="33" spans="1:6" ht="39" customHeight="1" x14ac:dyDescent="0.2">
      <c r="A33" s="476"/>
      <c r="F33" s="613"/>
    </row>
    <row r="34" spans="1:6" ht="14.25" x14ac:dyDescent="0.2">
      <c r="A34" s="476"/>
      <c r="B34" s="300" t="s">
        <v>177</v>
      </c>
      <c r="F34" s="613"/>
    </row>
    <row r="35" spans="1:6" x14ac:dyDescent="0.2">
      <c r="A35" s="476"/>
      <c r="B35" s="615" t="s">
        <v>537</v>
      </c>
      <c r="F35" s="613"/>
    </row>
    <row r="36" spans="1:6" x14ac:dyDescent="0.2">
      <c r="A36" s="476"/>
      <c r="F36" s="613"/>
    </row>
    <row r="37" spans="1:6" x14ac:dyDescent="0.2">
      <c r="A37" s="476"/>
      <c r="F37" s="613"/>
    </row>
    <row r="38" spans="1:6" x14ac:dyDescent="0.2">
      <c r="A38" s="476"/>
      <c r="F38" s="613"/>
    </row>
    <row r="39" spans="1:6" x14ac:dyDescent="0.2">
      <c r="A39" s="476"/>
      <c r="F39" s="613"/>
    </row>
    <row r="40" spans="1:6" x14ac:dyDescent="0.2">
      <c r="F40" s="613"/>
    </row>
    <row r="41" spans="1:6" x14ac:dyDescent="0.2">
      <c r="F41" s="613"/>
    </row>
    <row r="42" spans="1:6" x14ac:dyDescent="0.2">
      <c r="F42" s="613"/>
    </row>
    <row r="43" spans="1:6" x14ac:dyDescent="0.2">
      <c r="F43" s="613"/>
    </row>
    <row r="44" spans="1:6" x14ac:dyDescent="0.2">
      <c r="F44" s="613"/>
    </row>
    <row r="45" spans="1:6" x14ac:dyDescent="0.2">
      <c r="F45" s="613"/>
    </row>
    <row r="46" spans="1:6" x14ac:dyDescent="0.2">
      <c r="F46" s="613"/>
    </row>
    <row r="47" spans="1:6" x14ac:dyDescent="0.2">
      <c r="F47" s="613"/>
    </row>
    <row r="48" spans="1:6" x14ac:dyDescent="0.2">
      <c r="F48" s="613"/>
    </row>
    <row r="49" spans="6:6" x14ac:dyDescent="0.2">
      <c r="F49" s="613"/>
    </row>
    <row r="50" spans="6:6" x14ac:dyDescent="0.2">
      <c r="F50" s="613"/>
    </row>
    <row r="51" spans="6:6" x14ac:dyDescent="0.2">
      <c r="F51" s="613"/>
    </row>
    <row r="52" spans="6:6" x14ac:dyDescent="0.2">
      <c r="F52" s="613"/>
    </row>
    <row r="53" spans="6:6" x14ac:dyDescent="0.2">
      <c r="F53" s="613"/>
    </row>
    <row r="54" spans="6:6" x14ac:dyDescent="0.2">
      <c r="F54" s="613"/>
    </row>
    <row r="55" spans="6:6" x14ac:dyDescent="0.2">
      <c r="F55" s="613"/>
    </row>
    <row r="56" spans="6:6" x14ac:dyDescent="0.2">
      <c r="F56" s="613"/>
    </row>
    <row r="57" spans="6:6" x14ac:dyDescent="0.2">
      <c r="F57" s="613"/>
    </row>
    <row r="58" spans="6:6" x14ac:dyDescent="0.2">
      <c r="F58" s="613"/>
    </row>
    <row r="59" spans="6:6" x14ac:dyDescent="0.2">
      <c r="F59" s="613"/>
    </row>
    <row r="60" spans="6:6" x14ac:dyDescent="0.2">
      <c r="F60" s="613"/>
    </row>
    <row r="61" spans="6:6" x14ac:dyDescent="0.2">
      <c r="F61" s="613"/>
    </row>
    <row r="62" spans="6:6" x14ac:dyDescent="0.2">
      <c r="F62" s="613"/>
    </row>
    <row r="63" spans="6:6" x14ac:dyDescent="0.2">
      <c r="F63" s="613"/>
    </row>
    <row r="64" spans="6:6" x14ac:dyDescent="0.2">
      <c r="F64" s="613"/>
    </row>
    <row r="65" spans="6:6" x14ac:dyDescent="0.2">
      <c r="F65" s="613"/>
    </row>
    <row r="66" spans="6:6" x14ac:dyDescent="0.2">
      <c r="F66" s="613"/>
    </row>
    <row r="67" spans="6:6" x14ac:dyDescent="0.2">
      <c r="F67" s="613"/>
    </row>
    <row r="68" spans="6:6" x14ac:dyDescent="0.2">
      <c r="F68" s="613"/>
    </row>
    <row r="69" spans="6:6" x14ac:dyDescent="0.2">
      <c r="F69" s="613"/>
    </row>
    <row r="70" spans="6:6" x14ac:dyDescent="0.2">
      <c r="F70" s="613"/>
    </row>
    <row r="71" spans="6:6" x14ac:dyDescent="0.2">
      <c r="F71" s="613"/>
    </row>
    <row r="72" spans="6:6" x14ac:dyDescent="0.2">
      <c r="F72" s="613"/>
    </row>
    <row r="73" spans="6:6" x14ac:dyDescent="0.2">
      <c r="F73" s="613"/>
    </row>
    <row r="74" spans="6:6" x14ac:dyDescent="0.2">
      <c r="F74" s="613"/>
    </row>
    <row r="75" spans="6:6" x14ac:dyDescent="0.2">
      <c r="F75" s="613"/>
    </row>
    <row r="76" spans="6:6" x14ac:dyDescent="0.2">
      <c r="F76" s="613"/>
    </row>
    <row r="77" spans="6:6" x14ac:dyDescent="0.2">
      <c r="F77" s="613"/>
    </row>
    <row r="78" spans="6:6" x14ac:dyDescent="0.2">
      <c r="F78" s="613"/>
    </row>
    <row r="79" spans="6:6" x14ac:dyDescent="0.2">
      <c r="F79" s="613"/>
    </row>
    <row r="80" spans="6:6" x14ac:dyDescent="0.2">
      <c r="F80" s="613"/>
    </row>
    <row r="81" spans="6:6" x14ac:dyDescent="0.2">
      <c r="F81" s="613"/>
    </row>
    <row r="82" spans="6:6" x14ac:dyDescent="0.2">
      <c r="F82" s="613"/>
    </row>
    <row r="83" spans="6:6" x14ac:dyDescent="0.2">
      <c r="F83" s="613"/>
    </row>
  </sheetData>
  <mergeCells count="29">
    <mergeCell ref="B28:D28"/>
    <mergeCell ref="B25:D25"/>
    <mergeCell ref="B20:D20"/>
    <mergeCell ref="B13:D13"/>
    <mergeCell ref="B11:D11"/>
    <mergeCell ref="B27:D27"/>
    <mergeCell ref="B19:D19"/>
    <mergeCell ref="B21:D21"/>
    <mergeCell ref="B22:D22"/>
    <mergeCell ref="B23:D23"/>
    <mergeCell ref="B24:D24"/>
    <mergeCell ref="B16:D16"/>
    <mergeCell ref="B17:D17"/>
    <mergeCell ref="B18:D18"/>
    <mergeCell ref="B12:D12"/>
    <mergeCell ref="B14:D14"/>
    <mergeCell ref="B26:D26"/>
    <mergeCell ref="B15:D15"/>
    <mergeCell ref="B9:D9"/>
    <mergeCell ref="C1:F1"/>
    <mergeCell ref="C2:F2"/>
    <mergeCell ref="A1:B2"/>
    <mergeCell ref="B8:D8"/>
    <mergeCell ref="B10:D10"/>
    <mergeCell ref="F4:F6"/>
    <mergeCell ref="A7:F7"/>
    <mergeCell ref="D4:E6"/>
    <mergeCell ref="D3:E3"/>
    <mergeCell ref="C5:C6"/>
  </mergeCells>
  <pageMargins left="0.19685039370078741" right="0.31496062992125984" top="0.78740157480314965" bottom="0.78740157480314965" header="0.31496062992125984" footer="0.31496062992125984"/>
  <pageSetup paperSize="9" scale="7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T91"/>
  <sheetViews>
    <sheetView view="pageBreakPreview" topLeftCell="A58" zoomScaleSheetLayoutView="100" workbookViewId="0">
      <selection activeCell="E66" sqref="E66"/>
    </sheetView>
  </sheetViews>
  <sheetFormatPr defaultRowHeight="12.75" x14ac:dyDescent="0.2"/>
  <cols>
    <col min="1" max="1" width="12.42578125" style="109" customWidth="1"/>
    <col min="2" max="2" width="68.140625" style="109" customWidth="1"/>
    <col min="3" max="3" width="13" style="109" customWidth="1"/>
    <col min="4" max="4" width="8" style="109" bestFit="1" customWidth="1"/>
    <col min="5" max="15" width="12.140625" style="109" customWidth="1"/>
    <col min="16" max="16" width="7.28515625" style="109" customWidth="1"/>
    <col min="17" max="17" width="12.28515625" style="109" customWidth="1"/>
    <col min="18" max="18" width="7.140625" style="109" bestFit="1" customWidth="1"/>
    <col min="19" max="19" width="9.140625" style="109"/>
    <col min="20" max="20" width="9.28515625" style="109" bestFit="1" customWidth="1"/>
    <col min="21" max="16384" width="9.140625" style="109"/>
  </cols>
  <sheetData>
    <row r="1" spans="1:20" ht="22.5" customHeight="1" x14ac:dyDescent="0.2">
      <c r="A1" s="981" t="str">
        <f>Terrap.!C1</f>
        <v>ESTADO DE MATO GROSSO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2"/>
      <c r="Q1" s="982"/>
      <c r="R1" s="983"/>
    </row>
    <row r="2" spans="1:20" ht="25.5" customHeight="1" x14ac:dyDescent="0.2">
      <c r="A2" s="984" t="str">
        <f>Terrap.!C2</f>
        <v>PREFEITURA MUNICIPAL DE CLAUDIA</v>
      </c>
      <c r="B2" s="985"/>
      <c r="C2" s="985"/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5"/>
      <c r="Q2" s="985"/>
      <c r="R2" s="986"/>
    </row>
    <row r="3" spans="1:20" ht="15" x14ac:dyDescent="0.2">
      <c r="A3" s="399" t="s">
        <v>55</v>
      </c>
      <c r="B3" s="987" t="str">
        <f>Terrap.!B3</f>
        <v>PAVIMENTAÇÃO ASFALTICA E DRENAGEM DE AGUAS PLUVIAIS</v>
      </c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1067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  <c r="Q3" s="1068"/>
      <c r="R3" s="1069"/>
    </row>
    <row r="4" spans="1:20" ht="15" x14ac:dyDescent="0.2">
      <c r="A4" s="399" t="s">
        <v>56</v>
      </c>
      <c r="B4" s="987" t="str">
        <f>Terrap.!B4</f>
        <v>DIVERSAS RUAS - PERIMETRO URBANO</v>
      </c>
      <c r="C4" s="987"/>
      <c r="D4" s="987"/>
      <c r="E4" s="987"/>
      <c r="F4" s="987"/>
      <c r="G4" s="987"/>
      <c r="H4" s="987"/>
      <c r="I4" s="987"/>
      <c r="J4" s="987"/>
      <c r="K4" s="987"/>
      <c r="L4" s="987"/>
      <c r="M4" s="987"/>
      <c r="N4" s="987"/>
      <c r="O4" s="987"/>
      <c r="P4" s="1070"/>
      <c r="Q4" s="1071"/>
      <c r="R4" s="1072"/>
    </row>
    <row r="5" spans="1:20" ht="15.75" customHeight="1" x14ac:dyDescent="0.2">
      <c r="A5" s="399" t="s">
        <v>57</v>
      </c>
      <c r="B5" s="1061" t="str">
        <f>Terrap.!B5</f>
        <v>PREFEITURA MUNICIPAL DE CLAUDIA</v>
      </c>
      <c r="C5" s="1062"/>
      <c r="D5" s="1062"/>
      <c r="E5" s="1062"/>
      <c r="F5" s="1062"/>
      <c r="G5" s="1062"/>
      <c r="H5" s="1062"/>
      <c r="I5" s="1062"/>
      <c r="J5" s="1062"/>
      <c r="K5" s="1076"/>
      <c r="L5" s="401" t="s">
        <v>374</v>
      </c>
      <c r="M5" s="989" t="str">
        <f>Terrap.!F5</f>
        <v>JANEIRO / 2019</v>
      </c>
      <c r="N5" s="989"/>
      <c r="O5" s="989"/>
      <c r="P5" s="1070"/>
      <c r="Q5" s="1071"/>
      <c r="R5" s="1072"/>
    </row>
    <row r="6" spans="1:20" ht="26.25" customHeight="1" thickBot="1" x14ac:dyDescent="0.25">
      <c r="A6" s="402" t="s">
        <v>58</v>
      </c>
      <c r="B6" s="1077">
        <f>Pavim.!B6</f>
        <v>37813.870000000003</v>
      </c>
      <c r="C6" s="1078"/>
      <c r="D6" s="1078"/>
      <c r="E6" s="1078"/>
      <c r="F6" s="1078"/>
      <c r="G6" s="1078"/>
      <c r="H6" s="1078"/>
      <c r="I6" s="1078"/>
      <c r="J6" s="1078"/>
      <c r="K6" s="1079"/>
      <c r="L6" s="403" t="s">
        <v>59</v>
      </c>
      <c r="M6" s="404">
        <f>Terrap.!F6</f>
        <v>0.20699999999999999</v>
      </c>
      <c r="N6" s="1435" t="s">
        <v>60</v>
      </c>
      <c r="O6" s="1435"/>
      <c r="P6" s="1073"/>
      <c r="Q6" s="1074"/>
      <c r="R6" s="1075"/>
    </row>
    <row r="7" spans="1:20" ht="33" customHeight="1" thickBot="1" x14ac:dyDescent="0.25">
      <c r="A7" s="1441" t="s">
        <v>9</v>
      </c>
      <c r="B7" s="1442"/>
      <c r="C7" s="1442"/>
      <c r="D7" s="1442"/>
      <c r="E7" s="1442"/>
      <c r="F7" s="1442"/>
      <c r="G7" s="1442"/>
      <c r="H7" s="1442"/>
      <c r="I7" s="1442"/>
      <c r="J7" s="1442"/>
      <c r="K7" s="1442"/>
      <c r="L7" s="1442"/>
      <c r="M7" s="1442"/>
      <c r="N7" s="1442"/>
      <c r="O7" s="1442"/>
      <c r="P7" s="1442"/>
      <c r="Q7" s="1442"/>
      <c r="R7" s="1443"/>
    </row>
    <row r="8" spans="1:20" ht="13.5" thickBot="1" x14ac:dyDescent="0.25">
      <c r="A8" s="1448" t="s">
        <v>0</v>
      </c>
      <c r="B8" s="1451" t="s">
        <v>10</v>
      </c>
      <c r="C8" s="1454" t="s">
        <v>11</v>
      </c>
      <c r="D8" s="1454"/>
      <c r="E8" s="1455" t="s">
        <v>12</v>
      </c>
      <c r="F8" s="1456"/>
      <c r="G8" s="1456"/>
      <c r="H8" s="1456"/>
      <c r="I8" s="1456"/>
      <c r="J8" s="1456"/>
      <c r="K8" s="1456"/>
      <c r="L8" s="1456"/>
      <c r="M8" s="1456"/>
      <c r="N8" s="1456"/>
      <c r="O8" s="1456"/>
      <c r="P8" s="1456"/>
      <c r="Q8" s="1456"/>
      <c r="R8" s="1457"/>
    </row>
    <row r="9" spans="1:20" ht="13.5" thickBot="1" x14ac:dyDescent="0.25">
      <c r="A9" s="1449"/>
      <c r="B9" s="1452"/>
      <c r="C9" s="1454"/>
      <c r="D9" s="1454"/>
      <c r="E9" s="1439" t="s">
        <v>276</v>
      </c>
      <c r="F9" s="1440"/>
      <c r="G9" s="1458" t="s">
        <v>271</v>
      </c>
      <c r="H9" s="1440"/>
      <c r="I9" s="1439" t="s">
        <v>277</v>
      </c>
      <c r="J9" s="1440"/>
      <c r="K9" s="1439" t="s">
        <v>272</v>
      </c>
      <c r="L9" s="1440"/>
      <c r="M9" s="1439" t="s">
        <v>278</v>
      </c>
      <c r="N9" s="1440"/>
      <c r="O9" s="1439" t="s">
        <v>280</v>
      </c>
      <c r="P9" s="1440"/>
      <c r="Q9" s="1439" t="s">
        <v>13</v>
      </c>
      <c r="R9" s="1440"/>
    </row>
    <row r="10" spans="1:20" ht="13.5" thickBot="1" x14ac:dyDescent="0.25">
      <c r="A10" s="1450"/>
      <c r="B10" s="1453"/>
      <c r="C10" s="32" t="s">
        <v>14</v>
      </c>
      <c r="D10" s="33" t="s">
        <v>15</v>
      </c>
      <c r="E10" s="366" t="s">
        <v>14</v>
      </c>
      <c r="F10" s="33" t="s">
        <v>15</v>
      </c>
      <c r="G10" s="46" t="s">
        <v>16</v>
      </c>
      <c r="H10" s="34" t="s">
        <v>15</v>
      </c>
      <c r="I10" s="46" t="s">
        <v>16</v>
      </c>
      <c r="J10" s="34" t="s">
        <v>15</v>
      </c>
      <c r="K10" s="46" t="s">
        <v>16</v>
      </c>
      <c r="L10" s="34" t="s">
        <v>15</v>
      </c>
      <c r="M10" s="46" t="s">
        <v>16</v>
      </c>
      <c r="N10" s="34" t="s">
        <v>15</v>
      </c>
      <c r="O10" s="46" t="s">
        <v>16</v>
      </c>
      <c r="P10" s="34" t="s">
        <v>15</v>
      </c>
      <c r="Q10" s="46" t="s">
        <v>16</v>
      </c>
      <c r="R10" s="34" t="s">
        <v>15</v>
      </c>
    </row>
    <row r="11" spans="1:20" s="315" customFormat="1" x14ac:dyDescent="0.2">
      <c r="A11" s="318">
        <f>Resumo!A10</f>
        <v>1</v>
      </c>
      <c r="B11" s="352" t="str">
        <f>Resumo!B10</f>
        <v>SERVIÇOS PRELIMINARES</v>
      </c>
      <c r="C11" s="323"/>
      <c r="D11" s="324"/>
      <c r="E11" s="323"/>
      <c r="F11" s="325"/>
      <c r="G11" s="323"/>
      <c r="H11" s="326"/>
      <c r="I11" s="323"/>
      <c r="J11" s="325"/>
      <c r="K11" s="323"/>
      <c r="L11" s="325"/>
      <c r="M11" s="323"/>
      <c r="N11" s="325"/>
      <c r="O11" s="323"/>
      <c r="P11" s="325"/>
      <c r="Q11" s="323"/>
      <c r="R11" s="327"/>
    </row>
    <row r="12" spans="1:20" s="315" customFormat="1" ht="25.5" x14ac:dyDescent="0.2">
      <c r="A12" s="370" t="str">
        <f>Orçam.!A10</f>
        <v>1.1</v>
      </c>
      <c r="B12" s="319" t="str">
        <f>Orçam.!D10</f>
        <v>EXECUÇÃO DE DEPÓSITO EM CANTEIRO DE OBRA EM CHAPA DE MADEIRA COMPENSADA, NÃO INCLUSO MOBILIÁRIO. AF_04/2016</v>
      </c>
      <c r="C12" s="328">
        <f>Orçam.!J10</f>
        <v>17424</v>
      </c>
      <c r="D12" s="329" t="e">
        <f>C12/C85</f>
        <v>#REF!</v>
      </c>
      <c r="E12" s="328">
        <f t="shared" ref="E12:E16" si="0">$C12*F12/100</f>
        <v>17424</v>
      </c>
      <c r="F12" s="330">
        <v>100</v>
      </c>
      <c r="G12" s="328"/>
      <c r="H12" s="327"/>
      <c r="I12" s="328"/>
      <c r="J12" s="330"/>
      <c r="K12" s="328"/>
      <c r="L12" s="330"/>
      <c r="M12" s="328"/>
      <c r="N12" s="330"/>
      <c r="O12" s="328"/>
      <c r="P12" s="330"/>
      <c r="Q12" s="328">
        <f t="shared" ref="Q12:Q16" si="1">E12+G12+I12+K12+M12+O12</f>
        <v>17424</v>
      </c>
      <c r="R12" s="327">
        <f t="shared" ref="R12:R16" si="2">F12+H12+J12+L12</f>
        <v>100</v>
      </c>
      <c r="T12" s="353">
        <f>C12-Q12</f>
        <v>0</v>
      </c>
    </row>
    <row r="13" spans="1:20" s="315" customFormat="1" x14ac:dyDescent="0.2">
      <c r="A13" s="370" t="str">
        <f>Orçam.!A12</f>
        <v>1.3</v>
      </c>
      <c r="B13" s="319" t="str">
        <f>Orçam.!D12</f>
        <v>PLACA DE OBRA EM CHAPA DE ACO GALVANIZADO</v>
      </c>
      <c r="C13" s="328">
        <f>Orçam.!J12</f>
        <v>9608.75</v>
      </c>
      <c r="D13" s="329" t="e">
        <f>C13/C85</f>
        <v>#REF!</v>
      </c>
      <c r="E13" s="328">
        <f t="shared" si="0"/>
        <v>9608.75</v>
      </c>
      <c r="F13" s="330">
        <v>100</v>
      </c>
      <c r="G13" s="328"/>
      <c r="H13" s="327"/>
      <c r="I13" s="328"/>
      <c r="J13" s="330"/>
      <c r="K13" s="328"/>
      <c r="L13" s="330"/>
      <c r="M13" s="328"/>
      <c r="N13" s="330"/>
      <c r="O13" s="328"/>
      <c r="P13" s="330"/>
      <c r="Q13" s="328">
        <f t="shared" si="1"/>
        <v>9608.75</v>
      </c>
      <c r="R13" s="327">
        <f t="shared" si="2"/>
        <v>100</v>
      </c>
      <c r="T13" s="353">
        <f t="shared" ref="T13:T76" si="3">C13-Q13</f>
        <v>0</v>
      </c>
    </row>
    <row r="14" spans="1:20" s="315" customFormat="1" x14ac:dyDescent="0.2">
      <c r="A14" s="370" t="str">
        <f>Orçam.!A55</f>
        <v>4.2.5</v>
      </c>
      <c r="B14" s="319" t="str">
        <f>Orçam.!D55</f>
        <v>ENSAIOS DE BASE ESTABILIZADA GRANULOMETRICAMENTE</v>
      </c>
      <c r="C14" s="328">
        <f>Orçam.!J55</f>
        <v>29239.34</v>
      </c>
      <c r="D14" s="329" t="e">
        <f>C14/$C$85</f>
        <v>#REF!</v>
      </c>
      <c r="E14" s="328">
        <f t="shared" si="0"/>
        <v>29239.34</v>
      </c>
      <c r="F14" s="330">
        <v>100</v>
      </c>
      <c r="G14" s="328"/>
      <c r="H14" s="327"/>
      <c r="I14" s="328"/>
      <c r="J14" s="330"/>
      <c r="K14" s="328"/>
      <c r="L14" s="330"/>
      <c r="M14" s="328"/>
      <c r="N14" s="330"/>
      <c r="O14" s="328"/>
      <c r="P14" s="330"/>
      <c r="Q14" s="328">
        <f t="shared" si="1"/>
        <v>29239.34</v>
      </c>
      <c r="R14" s="327">
        <f t="shared" si="2"/>
        <v>100</v>
      </c>
      <c r="T14" s="353">
        <f t="shared" si="3"/>
        <v>0</v>
      </c>
    </row>
    <row r="15" spans="1:20" s="315" customFormat="1" x14ac:dyDescent="0.2">
      <c r="A15" s="370" t="str">
        <f>Orçam.!A56</f>
        <v>4.2.6</v>
      </c>
      <c r="B15" s="319" t="str">
        <f>Orçam.!D56</f>
        <v>ENSAIO DE VISCOSIDADE SAYBOLT - FUROL - MATERIAL BETUMINOSO</v>
      </c>
      <c r="C15" s="328">
        <f>Orçam.!J56</f>
        <v>2079.1999999999998</v>
      </c>
      <c r="D15" s="329" t="e">
        <f>C15/$C$85</f>
        <v>#REF!</v>
      </c>
      <c r="E15" s="328">
        <f t="shared" si="0"/>
        <v>2079.1999999999998</v>
      </c>
      <c r="F15" s="330">
        <v>100</v>
      </c>
      <c r="G15" s="328"/>
      <c r="H15" s="327"/>
      <c r="I15" s="328"/>
      <c r="J15" s="330"/>
      <c r="K15" s="328"/>
      <c r="L15" s="330"/>
      <c r="M15" s="328"/>
      <c r="N15" s="330"/>
      <c r="O15" s="328"/>
      <c r="P15" s="330"/>
      <c r="Q15" s="328">
        <f t="shared" si="1"/>
        <v>2079.1999999999998</v>
      </c>
      <c r="R15" s="327">
        <f t="shared" si="2"/>
        <v>100</v>
      </c>
      <c r="T15" s="353">
        <f t="shared" si="3"/>
        <v>0</v>
      </c>
    </row>
    <row r="16" spans="1:20" s="354" customFormat="1" x14ac:dyDescent="0.2">
      <c r="A16" s="370" t="str">
        <f>Orçam.!A57</f>
        <v>4.2.7</v>
      </c>
      <c r="B16" s="319" t="str">
        <f>Orçam.!D57</f>
        <v>ENSAIO DE PENETRACAO - MATERIAL BETUMINOSO</v>
      </c>
      <c r="C16" s="328">
        <f>Orçam.!J57</f>
        <v>1606.7</v>
      </c>
      <c r="D16" s="329" t="e">
        <f>C16/$C$85</f>
        <v>#REF!</v>
      </c>
      <c r="E16" s="328">
        <f t="shared" si="0"/>
        <v>1606.7</v>
      </c>
      <c r="F16" s="330">
        <v>100</v>
      </c>
      <c r="G16" s="331"/>
      <c r="H16" s="332"/>
      <c r="I16" s="331"/>
      <c r="J16" s="330"/>
      <c r="K16" s="328"/>
      <c r="L16" s="330"/>
      <c r="M16" s="328"/>
      <c r="N16" s="330"/>
      <c r="O16" s="328"/>
      <c r="P16" s="330"/>
      <c r="Q16" s="328">
        <f t="shared" si="1"/>
        <v>1606.7</v>
      </c>
      <c r="R16" s="327">
        <f t="shared" si="2"/>
        <v>100</v>
      </c>
      <c r="T16" s="353">
        <f t="shared" si="3"/>
        <v>0</v>
      </c>
    </row>
    <row r="17" spans="1:20" s="354" customFormat="1" x14ac:dyDescent="0.2">
      <c r="A17" s="370"/>
      <c r="B17" s="319"/>
      <c r="C17" s="328"/>
      <c r="D17" s="329"/>
      <c r="E17" s="328"/>
      <c r="F17" s="330"/>
      <c r="G17" s="331"/>
      <c r="H17" s="332"/>
      <c r="I17" s="331"/>
      <c r="J17" s="330"/>
      <c r="K17" s="328"/>
      <c r="L17" s="330"/>
      <c r="M17" s="328"/>
      <c r="N17" s="330"/>
      <c r="O17" s="328"/>
      <c r="P17" s="330"/>
      <c r="Q17" s="328"/>
      <c r="R17" s="327"/>
      <c r="T17" s="353">
        <f t="shared" si="3"/>
        <v>0</v>
      </c>
    </row>
    <row r="18" spans="1:20" s="356" customFormat="1" x14ac:dyDescent="0.2">
      <c r="A18" s="317">
        <f>Resumo!A12</f>
        <v>2</v>
      </c>
      <c r="B18" s="355" t="str">
        <f>Resumo!B12</f>
        <v>ADMINISTRAÇÃO DE CANTEIRO DE OBRA</v>
      </c>
      <c r="C18" s="323"/>
      <c r="D18" s="329"/>
      <c r="E18" s="323"/>
      <c r="F18" s="325"/>
      <c r="G18" s="323"/>
      <c r="H18" s="333"/>
      <c r="I18" s="323"/>
      <c r="J18" s="325"/>
      <c r="K18" s="323"/>
      <c r="L18" s="325"/>
      <c r="M18" s="323"/>
      <c r="N18" s="325"/>
      <c r="O18" s="323"/>
      <c r="P18" s="325"/>
      <c r="Q18" s="323"/>
      <c r="R18" s="327"/>
      <c r="T18" s="353">
        <f t="shared" si="3"/>
        <v>0</v>
      </c>
    </row>
    <row r="19" spans="1:20" s="356" customFormat="1" x14ac:dyDescent="0.2">
      <c r="A19" s="320" t="str">
        <f>Orçam.!A15</f>
        <v>2.1</v>
      </c>
      <c r="B19" s="357" t="str">
        <f>Orçam.!D15</f>
        <v>ADMINISTRAÇÃO LOCAL DE OBRA</v>
      </c>
      <c r="C19" s="328">
        <f>Orçam.!J15</f>
        <v>230672.18</v>
      </c>
      <c r="D19" s="329" t="e">
        <f>C19/$C$85</f>
        <v>#REF!</v>
      </c>
      <c r="E19" s="328">
        <f t="shared" ref="E19:E22" si="4">$C19*F19/100</f>
        <v>46134.44</v>
      </c>
      <c r="F19" s="330">
        <v>20</v>
      </c>
      <c r="G19" s="328">
        <f t="shared" ref="G19:G22" si="5">$C19*H19/100</f>
        <v>46134.44</v>
      </c>
      <c r="H19" s="332">
        <v>20</v>
      </c>
      <c r="I19" s="328">
        <f t="shared" ref="I19:I22" si="6">$C19*J19/100</f>
        <v>46134.44</v>
      </c>
      <c r="J19" s="330">
        <v>20</v>
      </c>
      <c r="K19" s="328">
        <f t="shared" ref="K19:K22" si="7">$C19*L19/100</f>
        <v>46134.44</v>
      </c>
      <c r="L19" s="330">
        <v>20</v>
      </c>
      <c r="M19" s="328">
        <f t="shared" ref="M19:M22" si="8">$C19*N19/100</f>
        <v>23067.22</v>
      </c>
      <c r="N19" s="330">
        <v>10</v>
      </c>
      <c r="O19" s="328">
        <f>$C19*P19/100</f>
        <v>23067.22</v>
      </c>
      <c r="P19" s="330">
        <v>10</v>
      </c>
      <c r="Q19" s="328">
        <f t="shared" ref="Q19:R53" si="9">E19+G19+I19+K19+M19+O19</f>
        <v>230672.2</v>
      </c>
      <c r="R19" s="327">
        <f t="shared" si="9"/>
        <v>100</v>
      </c>
      <c r="T19" s="353">
        <f t="shared" si="3"/>
        <v>-0.02</v>
      </c>
    </row>
    <row r="20" spans="1:20" s="356" customFormat="1" x14ac:dyDescent="0.2">
      <c r="A20" s="320" t="e">
        <f>Orçam.!#REF!</f>
        <v>#REF!</v>
      </c>
      <c r="B20" s="357" t="e">
        <f>Orçam.!#REF!</f>
        <v>#REF!</v>
      </c>
      <c r="C20" s="328" t="e">
        <f>Orçam.!#REF!</f>
        <v>#REF!</v>
      </c>
      <c r="D20" s="329" t="e">
        <f>C20/$C$85</f>
        <v>#REF!</v>
      </c>
      <c r="E20" s="328" t="e">
        <f t="shared" si="4"/>
        <v>#REF!</v>
      </c>
      <c r="F20" s="330">
        <v>20</v>
      </c>
      <c r="G20" s="328" t="e">
        <f t="shared" si="5"/>
        <v>#REF!</v>
      </c>
      <c r="H20" s="332">
        <v>20</v>
      </c>
      <c r="I20" s="328" t="e">
        <f t="shared" si="6"/>
        <v>#REF!</v>
      </c>
      <c r="J20" s="330">
        <v>20</v>
      </c>
      <c r="K20" s="328" t="e">
        <f t="shared" si="7"/>
        <v>#REF!</v>
      </c>
      <c r="L20" s="330">
        <v>20</v>
      </c>
      <c r="M20" s="328" t="e">
        <f t="shared" si="8"/>
        <v>#REF!</v>
      </c>
      <c r="N20" s="330">
        <v>10</v>
      </c>
      <c r="O20" s="328" t="e">
        <f>$C20*P20/100</f>
        <v>#REF!</v>
      </c>
      <c r="P20" s="330">
        <v>10</v>
      </c>
      <c r="Q20" s="328" t="e">
        <f t="shared" si="9"/>
        <v>#REF!</v>
      </c>
      <c r="R20" s="327">
        <f t="shared" si="9"/>
        <v>100</v>
      </c>
      <c r="T20" s="353" t="e">
        <f t="shared" si="3"/>
        <v>#REF!</v>
      </c>
    </row>
    <row r="21" spans="1:20" s="356" customFormat="1" x14ac:dyDescent="0.2">
      <c r="A21" s="320" t="e">
        <f>Orçam.!#REF!</f>
        <v>#REF!</v>
      </c>
      <c r="B21" s="357" t="e">
        <f>Orçam.!#REF!</f>
        <v>#REF!</v>
      </c>
      <c r="C21" s="328" t="e">
        <f>Orçam.!#REF!</f>
        <v>#REF!</v>
      </c>
      <c r="D21" s="329" t="e">
        <f>C21/$C$85</f>
        <v>#REF!</v>
      </c>
      <c r="E21" s="328" t="e">
        <f t="shared" si="4"/>
        <v>#REF!</v>
      </c>
      <c r="F21" s="330">
        <v>20</v>
      </c>
      <c r="G21" s="328" t="e">
        <f t="shared" si="5"/>
        <v>#REF!</v>
      </c>
      <c r="H21" s="332">
        <v>20</v>
      </c>
      <c r="I21" s="328" t="e">
        <f t="shared" si="6"/>
        <v>#REF!</v>
      </c>
      <c r="J21" s="330">
        <v>20</v>
      </c>
      <c r="K21" s="328" t="e">
        <f t="shared" si="7"/>
        <v>#REF!</v>
      </c>
      <c r="L21" s="330">
        <v>20</v>
      </c>
      <c r="M21" s="328" t="e">
        <f t="shared" si="8"/>
        <v>#REF!</v>
      </c>
      <c r="N21" s="330">
        <v>10</v>
      </c>
      <c r="O21" s="328" t="e">
        <f>$C21*P21/100</f>
        <v>#REF!</v>
      </c>
      <c r="P21" s="330">
        <v>10</v>
      </c>
      <c r="Q21" s="328" t="e">
        <f t="shared" si="9"/>
        <v>#REF!</v>
      </c>
      <c r="R21" s="327">
        <f t="shared" si="9"/>
        <v>100</v>
      </c>
      <c r="T21" s="353" t="e">
        <f t="shared" si="3"/>
        <v>#REF!</v>
      </c>
    </row>
    <row r="22" spans="1:20" s="356" customFormat="1" x14ac:dyDescent="0.2">
      <c r="A22" s="320" t="e">
        <f>Orçam.!#REF!</f>
        <v>#REF!</v>
      </c>
      <c r="B22" s="357" t="e">
        <f>Orçam.!#REF!</f>
        <v>#REF!</v>
      </c>
      <c r="C22" s="328" t="e">
        <f>Orçam.!#REF!</f>
        <v>#REF!</v>
      </c>
      <c r="D22" s="329" t="e">
        <f>C22/$C$85</f>
        <v>#REF!</v>
      </c>
      <c r="E22" s="328" t="e">
        <f t="shared" si="4"/>
        <v>#REF!</v>
      </c>
      <c r="F22" s="330">
        <v>20</v>
      </c>
      <c r="G22" s="328" t="e">
        <f t="shared" si="5"/>
        <v>#REF!</v>
      </c>
      <c r="H22" s="332">
        <v>20</v>
      </c>
      <c r="I22" s="328" t="e">
        <f t="shared" si="6"/>
        <v>#REF!</v>
      </c>
      <c r="J22" s="330">
        <v>20</v>
      </c>
      <c r="K22" s="328" t="e">
        <f t="shared" si="7"/>
        <v>#REF!</v>
      </c>
      <c r="L22" s="330">
        <v>20</v>
      </c>
      <c r="M22" s="328" t="e">
        <f t="shared" si="8"/>
        <v>#REF!</v>
      </c>
      <c r="N22" s="330">
        <v>10</v>
      </c>
      <c r="O22" s="328" t="e">
        <f>$C22*P22/100</f>
        <v>#REF!</v>
      </c>
      <c r="P22" s="330">
        <v>10</v>
      </c>
      <c r="Q22" s="328" t="e">
        <f t="shared" si="9"/>
        <v>#REF!</v>
      </c>
      <c r="R22" s="327">
        <f t="shared" si="9"/>
        <v>100</v>
      </c>
      <c r="T22" s="353" t="e">
        <f t="shared" si="3"/>
        <v>#REF!</v>
      </c>
    </row>
    <row r="23" spans="1:20" s="356" customFormat="1" x14ac:dyDescent="0.2">
      <c r="A23" s="320"/>
      <c r="B23" s="357"/>
      <c r="C23" s="328"/>
      <c r="D23" s="329"/>
      <c r="E23" s="328"/>
      <c r="F23" s="330"/>
      <c r="G23" s="328"/>
      <c r="H23" s="332"/>
      <c r="I23" s="328"/>
      <c r="J23" s="330"/>
      <c r="K23" s="328"/>
      <c r="L23" s="330"/>
      <c r="M23" s="328"/>
      <c r="N23" s="330"/>
      <c r="O23" s="328"/>
      <c r="P23" s="330"/>
      <c r="Q23" s="328"/>
      <c r="R23" s="327"/>
      <c r="T23" s="353">
        <f t="shared" si="3"/>
        <v>0</v>
      </c>
    </row>
    <row r="24" spans="1:20" s="315" customFormat="1" x14ac:dyDescent="0.2">
      <c r="A24" s="317">
        <f>Resumo!A14</f>
        <v>3</v>
      </c>
      <c r="B24" s="358" t="str">
        <f>Resumo!B14</f>
        <v>DRENAGEM DE ÁGUAS PLUVIAIS</v>
      </c>
      <c r="C24" s="323"/>
      <c r="D24" s="329"/>
      <c r="E24" s="323"/>
      <c r="F24" s="325"/>
      <c r="G24" s="323"/>
      <c r="H24" s="326"/>
      <c r="I24" s="323"/>
      <c r="J24" s="325"/>
      <c r="K24" s="323"/>
      <c r="L24" s="325"/>
      <c r="M24" s="323"/>
      <c r="N24" s="325"/>
      <c r="O24" s="323"/>
      <c r="P24" s="325"/>
      <c r="Q24" s="323"/>
      <c r="R24" s="327"/>
      <c r="T24" s="353">
        <f t="shared" si="3"/>
        <v>0</v>
      </c>
    </row>
    <row r="25" spans="1:20" s="359" customFormat="1" x14ac:dyDescent="0.2">
      <c r="A25" s="317" t="str">
        <f>Resumo!A15</f>
        <v>3.1</v>
      </c>
      <c r="B25" s="355" t="str">
        <f>Resumo!B15</f>
        <v>SERVIÇOS PRELIMINARES</v>
      </c>
      <c r="C25" s="328"/>
      <c r="D25" s="329"/>
      <c r="E25" s="328"/>
      <c r="F25" s="330"/>
      <c r="G25" s="328"/>
      <c r="H25" s="327"/>
      <c r="I25" s="328"/>
      <c r="J25" s="330"/>
      <c r="K25" s="328"/>
      <c r="L25" s="330"/>
      <c r="M25" s="328"/>
      <c r="N25" s="330"/>
      <c r="O25" s="328"/>
      <c r="P25" s="330"/>
      <c r="Q25" s="328"/>
      <c r="R25" s="327"/>
      <c r="T25" s="353">
        <f t="shared" si="3"/>
        <v>0</v>
      </c>
    </row>
    <row r="26" spans="1:20" s="359" customFormat="1" x14ac:dyDescent="0.2">
      <c r="A26" s="320" t="str">
        <f>Orçam.!A19</f>
        <v>3.1.1</v>
      </c>
      <c r="B26" s="357" t="str">
        <f>Orçam.!D19</f>
        <v>LOCAÇÃO DE REDES DE ÁGUA OU DE ESGOTO, INCLUSIVE TOPOGRAFO</v>
      </c>
      <c r="C26" s="328">
        <f>Orçam.!J19</f>
        <v>3299.43</v>
      </c>
      <c r="D26" s="329" t="e">
        <f>C26/$C$85</f>
        <v>#REF!</v>
      </c>
      <c r="E26" s="328">
        <f>$C26*F26/100</f>
        <v>1649.72</v>
      </c>
      <c r="F26" s="330">
        <v>50</v>
      </c>
      <c r="G26" s="328">
        <f>$C26*H26/100</f>
        <v>1649.72</v>
      </c>
      <c r="H26" s="327">
        <v>50</v>
      </c>
      <c r="I26" s="328"/>
      <c r="J26" s="330"/>
      <c r="K26" s="328"/>
      <c r="L26" s="330"/>
      <c r="M26" s="328"/>
      <c r="N26" s="330"/>
      <c r="O26" s="328"/>
      <c r="P26" s="330"/>
      <c r="Q26" s="328">
        <f t="shared" si="9"/>
        <v>3299.44</v>
      </c>
      <c r="R26" s="327">
        <f t="shared" si="9"/>
        <v>100</v>
      </c>
      <c r="T26" s="353">
        <f t="shared" si="3"/>
        <v>-0.01</v>
      </c>
    </row>
    <row r="27" spans="1:20" s="359" customFormat="1" x14ac:dyDescent="0.2">
      <c r="A27" s="317" t="str">
        <f>Resumo!A16</f>
        <v>3.2</v>
      </c>
      <c r="B27" s="355" t="str">
        <f>Resumo!B16</f>
        <v>MOVIMENTO DE TERRA</v>
      </c>
      <c r="C27" s="328"/>
      <c r="D27" s="329"/>
      <c r="E27" s="328"/>
      <c r="F27" s="330"/>
      <c r="G27" s="328"/>
      <c r="H27" s="327"/>
      <c r="I27" s="328"/>
      <c r="J27" s="330"/>
      <c r="K27" s="328"/>
      <c r="L27" s="330"/>
      <c r="M27" s="328"/>
      <c r="N27" s="330"/>
      <c r="O27" s="328"/>
      <c r="P27" s="330"/>
      <c r="Q27" s="328"/>
      <c r="R27" s="327"/>
      <c r="T27" s="353">
        <f t="shared" si="3"/>
        <v>0</v>
      </c>
    </row>
    <row r="28" spans="1:20" s="359" customFormat="1" ht="63.75" x14ac:dyDescent="0.2">
      <c r="A28" s="320" t="str">
        <f>Orçam.!A22</f>
        <v>3.2.1</v>
      </c>
      <c r="B28" s="360" t="str">
        <f>Orçam.!D22</f>
        <v>ESCAVAÇÃO MECANIZADA DE VALA COM PROF. ATÉ 1,5 M(MÉDIA ENTRE MONTANTE E JUSANTE/UMA COMPOSIÇÃO POR TRECHO), COM ESCAVADEIRA HIDRÁULICA (0,8M3/111 HP), LARG. DE 1,5M A 2,5 M, EM SOLO DE 1A CATEGORIA, LOCAIS COM BAIXO NÍVEL DE INTERFERÊNCIA. AF_01/2015</v>
      </c>
      <c r="C28" s="328">
        <f>Orçam.!J22</f>
        <v>37821.85</v>
      </c>
      <c r="D28" s="329" t="e">
        <f>C28/$C$85</f>
        <v>#REF!</v>
      </c>
      <c r="E28" s="328">
        <f>$C28*F28/100</f>
        <v>15128.74</v>
      </c>
      <c r="F28" s="330">
        <v>40</v>
      </c>
      <c r="G28" s="328">
        <f>$C28*H28/100</f>
        <v>17019.830000000002</v>
      </c>
      <c r="H28" s="327">
        <v>45</v>
      </c>
      <c r="I28" s="328">
        <f>$C28*J28/100+0.01</f>
        <v>5673.29</v>
      </c>
      <c r="J28" s="330">
        <v>15</v>
      </c>
      <c r="K28" s="328"/>
      <c r="L28" s="330"/>
      <c r="M28" s="328"/>
      <c r="N28" s="330"/>
      <c r="O28" s="328"/>
      <c r="P28" s="330"/>
      <c r="Q28" s="328">
        <f t="shared" si="9"/>
        <v>37821.86</v>
      </c>
      <c r="R28" s="327">
        <f t="shared" si="9"/>
        <v>100</v>
      </c>
      <c r="T28" s="353">
        <f t="shared" si="3"/>
        <v>-0.01</v>
      </c>
    </row>
    <row r="29" spans="1:20" s="359" customFormat="1" ht="63.75" x14ac:dyDescent="0.2">
      <c r="A29" s="320" t="str">
        <f>Orçam.!A23</f>
        <v>3.2.2</v>
      </c>
      <c r="B29" s="360" t="str">
        <f>Orçam.!D23</f>
        <v>ESCAVAÇÃO MECANIZADA DE VALA COM PROF. MAIOR QUE 1,5 M E ATÉ 3,0 M(MÉDIA ENTRE MONTANTE E JUSANTE/UMA COMPOSIÇÃO POR TRECHO), COM ESCAVADEIRA HIDRÁULICA (0,8 M3/111 HP), LARG. MENOR QUE 1,5 M, EM SOLO DE 1A CATEGORIA, LOCAIS COM BAIXO NÍVEL DE INTERFERÊNCIA. AF_01/2015</v>
      </c>
      <c r="C29" s="328">
        <f>Orçam.!J23</f>
        <v>6207.91</v>
      </c>
      <c r="D29" s="329" t="e">
        <f>C29/$C$85</f>
        <v>#REF!</v>
      </c>
      <c r="E29" s="328">
        <f>$C29*F29/100</f>
        <v>2483.16</v>
      </c>
      <c r="F29" s="330">
        <v>40</v>
      </c>
      <c r="G29" s="328">
        <f>$C29*H29/100</f>
        <v>2793.56</v>
      </c>
      <c r="H29" s="327">
        <v>45</v>
      </c>
      <c r="I29" s="328">
        <f>$C29*J29/100</f>
        <v>931.19</v>
      </c>
      <c r="J29" s="330">
        <v>15</v>
      </c>
      <c r="K29" s="328"/>
      <c r="L29" s="330"/>
      <c r="M29" s="328"/>
      <c r="N29" s="330"/>
      <c r="O29" s="328"/>
      <c r="P29" s="330"/>
      <c r="Q29" s="328">
        <f t="shared" si="9"/>
        <v>6207.91</v>
      </c>
      <c r="R29" s="327">
        <f t="shared" si="9"/>
        <v>100</v>
      </c>
      <c r="T29" s="353">
        <f>C29-Q29</f>
        <v>0</v>
      </c>
    </row>
    <row r="30" spans="1:20" s="359" customFormat="1" ht="38.25" x14ac:dyDescent="0.2">
      <c r="A30" s="320" t="str">
        <f>Orçam.!A24</f>
        <v>3.2.3</v>
      </c>
      <c r="B30" s="360" t="str">
        <f>Orçam.!D24</f>
        <v>ESCORAMENTO DE VALA, TIPO DESCONTÍNUO, COM PROFUNDIDADE DE 0 A 1,5 M,LARGURA MAIOR OU IGUAL A 1,5 M E MENOR QUE 2,5 M, EM LOCAL COM NÍVEL BAIXO DE INTERFERÊNCIA. AF_06/2016</v>
      </c>
      <c r="C30" s="328">
        <f>Orçam.!J24</f>
        <v>33362.910000000003</v>
      </c>
      <c r="D30" s="329" t="e">
        <f>C30/$C$85</f>
        <v>#REF!</v>
      </c>
      <c r="E30" s="328">
        <f>$C30*F30/100</f>
        <v>13345.16</v>
      </c>
      <c r="F30" s="330">
        <v>40</v>
      </c>
      <c r="G30" s="328">
        <f>$C30*H30/100</f>
        <v>15013.31</v>
      </c>
      <c r="H30" s="327">
        <v>45</v>
      </c>
      <c r="I30" s="328">
        <f>$C30*J30/100-0.01</f>
        <v>5004.43</v>
      </c>
      <c r="J30" s="330">
        <v>15</v>
      </c>
      <c r="K30" s="328"/>
      <c r="L30" s="330"/>
      <c r="M30" s="328"/>
      <c r="N30" s="330"/>
      <c r="O30" s="328"/>
      <c r="P30" s="330"/>
      <c r="Q30" s="328">
        <f t="shared" si="9"/>
        <v>33362.9</v>
      </c>
      <c r="R30" s="327">
        <f t="shared" si="9"/>
        <v>100</v>
      </c>
      <c r="T30" s="353">
        <f t="shared" si="3"/>
        <v>0.01</v>
      </c>
    </row>
    <row r="31" spans="1:20" s="359" customFormat="1" ht="38.25" x14ac:dyDescent="0.2">
      <c r="A31" s="320" t="str">
        <f>Orçam.!A25</f>
        <v>3.2.4</v>
      </c>
      <c r="B31" s="360" t="str">
        <f>Orçam.!D25</f>
        <v>LASTRO DE VALA COM PREPARO DE FUNDO, LARGURA MENOR QUE 1,5 M, COM CAMADA DE AREIA, LANÇAMENTO MANUAL, EM LOCAL COM NÍVEL BAIXO DE INTERFERÊNCIA. AF_06/2016</v>
      </c>
      <c r="C31" s="328">
        <f>Orçam.!J25</f>
        <v>74223.91</v>
      </c>
      <c r="D31" s="329" t="e">
        <f>C31/$C$85</f>
        <v>#REF!</v>
      </c>
      <c r="E31" s="328">
        <f>$C31*F31/100</f>
        <v>29689.56</v>
      </c>
      <c r="F31" s="330">
        <v>40</v>
      </c>
      <c r="G31" s="328">
        <f>$C31*H31/100</f>
        <v>33400.76</v>
      </c>
      <c r="H31" s="327">
        <v>45</v>
      </c>
      <c r="I31" s="328">
        <f>$C31*J31/100+0.01</f>
        <v>11133.6</v>
      </c>
      <c r="J31" s="330">
        <v>15</v>
      </c>
      <c r="K31" s="328"/>
      <c r="L31" s="330"/>
      <c r="M31" s="328"/>
      <c r="N31" s="330"/>
      <c r="O31" s="328"/>
      <c r="P31" s="330"/>
      <c r="Q31" s="328">
        <f t="shared" si="9"/>
        <v>74223.92</v>
      </c>
      <c r="R31" s="327">
        <f t="shared" si="9"/>
        <v>100</v>
      </c>
      <c r="T31" s="353">
        <f t="shared" si="3"/>
        <v>-0.01</v>
      </c>
    </row>
    <row r="32" spans="1:20" s="359" customFormat="1" ht="63.75" x14ac:dyDescent="0.2">
      <c r="A32" s="320" t="str">
        <f>Orçam.!A27</f>
        <v>3.2.6</v>
      </c>
      <c r="B32" s="360" t="str">
        <f>Orçam.!D27</f>
        <v>REATERRO MECANIZADO DE VALA COM RETROESCAVADEIRA (CAPACIDADE DA CAÇAMBA DA RETRO: 0,26 M³ / POTÊNCIA: 88 HP), LARGURA DE 0,8 A 1,5 M, PROFUNDIDADE DE 1,5 A 3,0 M, COM SOLO (SEM SUBSTITUIÇÃO) DE 1ª CATEGORIA EM LOCAIS COM BAIXO NÍVEL DE INTERFERÊNCIA. AF_04/2016</v>
      </c>
      <c r="C32" s="328">
        <f>Orçam.!J27</f>
        <v>8238.2999999999993</v>
      </c>
      <c r="D32" s="329" t="e">
        <f>C32/$C$85</f>
        <v>#REF!</v>
      </c>
      <c r="E32" s="328">
        <f>$C32*F32/100</f>
        <v>3295.32</v>
      </c>
      <c r="F32" s="330">
        <v>40</v>
      </c>
      <c r="G32" s="328">
        <f>$C32*H32/100</f>
        <v>3707.24</v>
      </c>
      <c r="H32" s="327">
        <v>45</v>
      </c>
      <c r="I32" s="328">
        <f>$C32*J32/100-0.01</f>
        <v>1235.74</v>
      </c>
      <c r="J32" s="330">
        <v>15</v>
      </c>
      <c r="K32" s="328"/>
      <c r="L32" s="330"/>
      <c r="M32" s="328"/>
      <c r="N32" s="330"/>
      <c r="O32" s="328"/>
      <c r="P32" s="330"/>
      <c r="Q32" s="328">
        <f t="shared" si="9"/>
        <v>8238.2999999999993</v>
      </c>
      <c r="R32" s="327">
        <f t="shared" si="9"/>
        <v>100</v>
      </c>
      <c r="T32" s="353">
        <f t="shared" si="3"/>
        <v>0</v>
      </c>
    </row>
    <row r="33" spans="1:20" s="359" customFormat="1" x14ac:dyDescent="0.2">
      <c r="A33" s="317" t="str">
        <f>Resumo!A17</f>
        <v>3.3</v>
      </c>
      <c r="B33" s="358" t="str">
        <f>Resumo!B17</f>
        <v>FORNECIMENTO E ASSENTAMENTO DE TUBOS</v>
      </c>
      <c r="C33" s="328"/>
      <c r="D33" s="329"/>
      <c r="E33" s="328"/>
      <c r="F33" s="330"/>
      <c r="G33" s="328"/>
      <c r="H33" s="327"/>
      <c r="I33" s="328"/>
      <c r="J33" s="330"/>
      <c r="K33" s="328"/>
      <c r="L33" s="330"/>
      <c r="M33" s="328"/>
      <c r="N33" s="330"/>
      <c r="O33" s="328"/>
      <c r="P33" s="330"/>
      <c r="Q33" s="328"/>
      <c r="R33" s="327"/>
      <c r="T33" s="353">
        <f t="shared" si="3"/>
        <v>0</v>
      </c>
    </row>
    <row r="34" spans="1:20" s="359" customFormat="1" ht="51" x14ac:dyDescent="0.2">
      <c r="A34" s="321" t="str">
        <f>Orçam.!A30</f>
        <v>3.3.1</v>
      </c>
      <c r="B34" s="360" t="str">
        <f>Orçam.!D30</f>
        <v>TUBO DE CONCRETO PARA REDES COLETORAS DE ÁGUAS PLUVIAIS, DIÂMETRO DE 400 MM, JUNTA RÍGIDA, INSTALADO EM LOCAL COM ALTO NÍVEL DE INTERFERÊNCIAS - FORNECIMENTO E ASSENTAMENTO. AF_12/2015</v>
      </c>
      <c r="C34" s="328">
        <f>Orçam.!J30</f>
        <v>114700.8</v>
      </c>
      <c r="D34" s="329" t="e">
        <f t="shared" ref="D34:D43" si="10">C34/$C$85</f>
        <v>#REF!</v>
      </c>
      <c r="E34" s="328">
        <f t="shared" ref="E34:E43" si="11">$C34*F34/100</f>
        <v>11470.08</v>
      </c>
      <c r="F34" s="330">
        <v>10</v>
      </c>
      <c r="G34" s="328">
        <f t="shared" ref="G34:G43" si="12">$C34*H34/100</f>
        <v>22940.16</v>
      </c>
      <c r="H34" s="327">
        <v>20</v>
      </c>
      <c r="I34" s="328">
        <f t="shared" ref="I34:I43" si="13">$C34*J34/100</f>
        <v>45880.32</v>
      </c>
      <c r="J34" s="330">
        <v>40</v>
      </c>
      <c r="K34" s="328">
        <f t="shared" ref="K34:K43" si="14">$C34*L34/100</f>
        <v>28675.200000000001</v>
      </c>
      <c r="L34" s="330">
        <v>25</v>
      </c>
      <c r="M34" s="328">
        <f t="shared" ref="M34:M43" si="15">$C34*N34/100</f>
        <v>5735.04</v>
      </c>
      <c r="N34" s="330">
        <v>5</v>
      </c>
      <c r="O34" s="328"/>
      <c r="P34" s="330"/>
      <c r="Q34" s="328">
        <f t="shared" ref="Q34:Q43" si="16">E34+G34+I34+K34+M34+O34</f>
        <v>114700.8</v>
      </c>
      <c r="R34" s="327">
        <f t="shared" si="9"/>
        <v>100</v>
      </c>
      <c r="T34" s="353">
        <f t="shared" si="3"/>
        <v>0</v>
      </c>
    </row>
    <row r="35" spans="1:20" s="359" customFormat="1" x14ac:dyDescent="0.2">
      <c r="A35" s="321" t="e">
        <f>Orçam.!#REF!</f>
        <v>#REF!</v>
      </c>
      <c r="B35" s="360" t="e">
        <f>Orçam.!#REF!</f>
        <v>#REF!</v>
      </c>
      <c r="C35" s="328" t="e">
        <f>Orçam.!#REF!</f>
        <v>#REF!</v>
      </c>
      <c r="D35" s="329" t="e">
        <f t="shared" si="10"/>
        <v>#REF!</v>
      </c>
      <c r="E35" s="328" t="e">
        <f t="shared" si="11"/>
        <v>#REF!</v>
      </c>
      <c r="F35" s="330">
        <v>10</v>
      </c>
      <c r="G35" s="328" t="e">
        <f t="shared" si="12"/>
        <v>#REF!</v>
      </c>
      <c r="H35" s="327">
        <v>20</v>
      </c>
      <c r="I35" s="328" t="e">
        <f t="shared" si="13"/>
        <v>#REF!</v>
      </c>
      <c r="J35" s="330">
        <v>40</v>
      </c>
      <c r="K35" s="328" t="e">
        <f t="shared" si="14"/>
        <v>#REF!</v>
      </c>
      <c r="L35" s="330">
        <v>25</v>
      </c>
      <c r="M35" s="328" t="e">
        <f t="shared" si="15"/>
        <v>#REF!</v>
      </c>
      <c r="N35" s="330">
        <v>5</v>
      </c>
      <c r="O35" s="328"/>
      <c r="P35" s="330"/>
      <c r="Q35" s="328" t="e">
        <f t="shared" si="16"/>
        <v>#REF!</v>
      </c>
      <c r="R35" s="327">
        <f t="shared" si="9"/>
        <v>100</v>
      </c>
      <c r="T35" s="353" t="e">
        <f t="shared" si="3"/>
        <v>#REF!</v>
      </c>
    </row>
    <row r="36" spans="1:20" s="359" customFormat="1" ht="51" x14ac:dyDescent="0.2">
      <c r="A36" s="321" t="str">
        <f>Orçam.!A32</f>
        <v>3.3.3</v>
      </c>
      <c r="B36" s="360" t="str">
        <f>Orçam.!D32</f>
        <v>TUBO DE CONCRETO PARA REDES COLETORAS DE ÁGUAS PLUVIAIS, DIÂMETRO DE 800 MM, JUNTA RÍGIDA, INSTALADO EM LOCAL COM ALTO NÍVEL DE INTERFERÊNCIAS - FORNECIMENTO E ASSENTAMENTO. AF_12/2015</v>
      </c>
      <c r="C36" s="328">
        <f>Orçam.!J32</f>
        <v>472681.56</v>
      </c>
      <c r="D36" s="329" t="e">
        <f t="shared" si="10"/>
        <v>#REF!</v>
      </c>
      <c r="E36" s="328">
        <f t="shared" si="11"/>
        <v>47268.160000000003</v>
      </c>
      <c r="F36" s="330">
        <v>10</v>
      </c>
      <c r="G36" s="328">
        <f t="shared" si="12"/>
        <v>94536.31</v>
      </c>
      <c r="H36" s="327">
        <v>20</v>
      </c>
      <c r="I36" s="328">
        <f t="shared" si="13"/>
        <v>189072.62</v>
      </c>
      <c r="J36" s="330">
        <v>40</v>
      </c>
      <c r="K36" s="328">
        <f t="shared" si="14"/>
        <v>118170.39</v>
      </c>
      <c r="L36" s="330">
        <v>25</v>
      </c>
      <c r="M36" s="328">
        <f t="shared" si="15"/>
        <v>23634.080000000002</v>
      </c>
      <c r="N36" s="330">
        <v>5</v>
      </c>
      <c r="O36" s="328"/>
      <c r="P36" s="330"/>
      <c r="Q36" s="328">
        <f t="shared" si="16"/>
        <v>472681.56</v>
      </c>
      <c r="R36" s="327">
        <f t="shared" si="9"/>
        <v>100</v>
      </c>
      <c r="T36" s="353">
        <f t="shared" si="3"/>
        <v>0</v>
      </c>
    </row>
    <row r="37" spans="1:20" s="359" customFormat="1" ht="51" x14ac:dyDescent="0.2">
      <c r="A37" s="321" t="str">
        <f>Orçam.!A33</f>
        <v>3.3.4</v>
      </c>
      <c r="B37" s="360" t="str">
        <f>Orçam.!D33</f>
        <v>TUBO DE CONCRETO PARA REDES COLETORAS DE ÁGUAS PLUVIAIS, DIÂMETRO DE 1000 MM, JUNTA RÍGIDA, INSTALADO EM LOCAL COM BAIXO NÍVEL DE INTERFERÊNCIAS - FORNECIMENTO E ASSENTAMENTO. AF_12/2015</v>
      </c>
      <c r="C37" s="328">
        <f>Orçam.!J33</f>
        <v>0</v>
      </c>
      <c r="D37" s="329" t="e">
        <f t="shared" si="10"/>
        <v>#REF!</v>
      </c>
      <c r="E37" s="328">
        <f t="shared" si="11"/>
        <v>0</v>
      </c>
      <c r="F37" s="330">
        <v>10</v>
      </c>
      <c r="G37" s="328">
        <f t="shared" si="12"/>
        <v>0</v>
      </c>
      <c r="H37" s="327">
        <v>20</v>
      </c>
      <c r="I37" s="328">
        <f t="shared" si="13"/>
        <v>0</v>
      </c>
      <c r="J37" s="330">
        <v>40</v>
      </c>
      <c r="K37" s="328">
        <f t="shared" si="14"/>
        <v>0</v>
      </c>
      <c r="L37" s="330">
        <v>25</v>
      </c>
      <c r="M37" s="328">
        <f t="shared" si="15"/>
        <v>0</v>
      </c>
      <c r="N37" s="330">
        <v>5</v>
      </c>
      <c r="O37" s="328"/>
      <c r="P37" s="330"/>
      <c r="Q37" s="328">
        <f t="shared" si="16"/>
        <v>0</v>
      </c>
      <c r="R37" s="327">
        <f t="shared" si="9"/>
        <v>100</v>
      </c>
      <c r="T37" s="353">
        <f t="shared" si="3"/>
        <v>0</v>
      </c>
    </row>
    <row r="38" spans="1:20" s="359" customFormat="1" x14ac:dyDescent="0.2">
      <c r="A38" s="321" t="e">
        <f>Orçam.!#REF!</f>
        <v>#REF!</v>
      </c>
      <c r="B38" s="360" t="e">
        <f>Orçam.!#REF!</f>
        <v>#REF!</v>
      </c>
      <c r="C38" s="328" t="e">
        <f>Orçam.!#REF!</f>
        <v>#REF!</v>
      </c>
      <c r="D38" s="329" t="e">
        <f t="shared" si="10"/>
        <v>#REF!</v>
      </c>
      <c r="E38" s="328" t="e">
        <f t="shared" si="11"/>
        <v>#REF!</v>
      </c>
      <c r="F38" s="330">
        <v>10</v>
      </c>
      <c r="G38" s="328" t="e">
        <f t="shared" si="12"/>
        <v>#REF!</v>
      </c>
      <c r="H38" s="327">
        <v>20</v>
      </c>
      <c r="I38" s="328" t="e">
        <f t="shared" si="13"/>
        <v>#REF!</v>
      </c>
      <c r="J38" s="330">
        <v>40</v>
      </c>
      <c r="K38" s="328" t="e">
        <f t="shared" si="14"/>
        <v>#REF!</v>
      </c>
      <c r="L38" s="330">
        <v>25</v>
      </c>
      <c r="M38" s="328" t="e">
        <f t="shared" si="15"/>
        <v>#REF!</v>
      </c>
      <c r="N38" s="330">
        <v>5</v>
      </c>
      <c r="O38" s="328"/>
      <c r="P38" s="330"/>
      <c r="Q38" s="328" t="e">
        <f t="shared" si="16"/>
        <v>#REF!</v>
      </c>
      <c r="R38" s="327">
        <f t="shared" si="9"/>
        <v>100</v>
      </c>
      <c r="T38" s="353" t="e">
        <f t="shared" si="3"/>
        <v>#REF!</v>
      </c>
    </row>
    <row r="39" spans="1:20" s="359" customFormat="1" x14ac:dyDescent="0.2">
      <c r="A39" s="321" t="e">
        <f>Orçam.!#REF!</f>
        <v>#REF!</v>
      </c>
      <c r="B39" s="360" t="e">
        <f>Orçam.!#REF!</f>
        <v>#REF!</v>
      </c>
      <c r="C39" s="328" t="e">
        <f>Orçam.!#REF!</f>
        <v>#REF!</v>
      </c>
      <c r="D39" s="329" t="e">
        <f t="shared" si="10"/>
        <v>#REF!</v>
      </c>
      <c r="E39" s="328" t="e">
        <f t="shared" si="11"/>
        <v>#REF!</v>
      </c>
      <c r="F39" s="330">
        <v>10</v>
      </c>
      <c r="G39" s="328" t="e">
        <f t="shared" si="12"/>
        <v>#REF!</v>
      </c>
      <c r="H39" s="327">
        <v>20</v>
      </c>
      <c r="I39" s="328" t="e">
        <f t="shared" si="13"/>
        <v>#REF!</v>
      </c>
      <c r="J39" s="330">
        <v>40</v>
      </c>
      <c r="K39" s="328" t="e">
        <f t="shared" si="14"/>
        <v>#REF!</v>
      </c>
      <c r="L39" s="330">
        <v>25</v>
      </c>
      <c r="M39" s="328" t="e">
        <f t="shared" si="15"/>
        <v>#REF!</v>
      </c>
      <c r="N39" s="330">
        <v>5</v>
      </c>
      <c r="O39" s="328"/>
      <c r="P39" s="330"/>
      <c r="Q39" s="328" t="e">
        <f t="shared" si="16"/>
        <v>#REF!</v>
      </c>
      <c r="R39" s="327">
        <f t="shared" si="9"/>
        <v>100</v>
      </c>
      <c r="T39" s="353" t="e">
        <f t="shared" si="3"/>
        <v>#REF!</v>
      </c>
    </row>
    <row r="40" spans="1:20" s="359" customFormat="1" x14ac:dyDescent="0.2">
      <c r="A40" s="321" t="e">
        <f>Orçam.!#REF!</f>
        <v>#REF!</v>
      </c>
      <c r="B40" s="360" t="e">
        <f>Orçam.!#REF!</f>
        <v>#REF!</v>
      </c>
      <c r="C40" s="328" t="e">
        <f>Orçam.!#REF!</f>
        <v>#REF!</v>
      </c>
      <c r="D40" s="329" t="e">
        <f t="shared" si="10"/>
        <v>#REF!</v>
      </c>
      <c r="E40" s="328" t="e">
        <f t="shared" si="11"/>
        <v>#REF!</v>
      </c>
      <c r="F40" s="330">
        <v>10</v>
      </c>
      <c r="G40" s="328" t="e">
        <f t="shared" si="12"/>
        <v>#REF!</v>
      </c>
      <c r="H40" s="327">
        <v>20</v>
      </c>
      <c r="I40" s="328" t="e">
        <f t="shared" si="13"/>
        <v>#REF!</v>
      </c>
      <c r="J40" s="330">
        <v>40</v>
      </c>
      <c r="K40" s="328" t="e">
        <f t="shared" si="14"/>
        <v>#REF!</v>
      </c>
      <c r="L40" s="330">
        <v>25</v>
      </c>
      <c r="M40" s="328" t="e">
        <f t="shared" si="15"/>
        <v>#REF!</v>
      </c>
      <c r="N40" s="330">
        <v>5</v>
      </c>
      <c r="O40" s="328"/>
      <c r="P40" s="330"/>
      <c r="Q40" s="328" t="e">
        <f t="shared" si="16"/>
        <v>#REF!</v>
      </c>
      <c r="R40" s="327">
        <f t="shared" si="9"/>
        <v>100</v>
      </c>
      <c r="T40" s="353" t="e">
        <f t="shared" si="3"/>
        <v>#REF!</v>
      </c>
    </row>
    <row r="41" spans="1:20" s="359" customFormat="1" x14ac:dyDescent="0.2">
      <c r="A41" s="321" t="e">
        <f>Orçam.!#REF!</f>
        <v>#REF!</v>
      </c>
      <c r="B41" s="360" t="e">
        <f>Orçam.!#REF!</f>
        <v>#REF!</v>
      </c>
      <c r="C41" s="328" t="e">
        <f>Orçam.!#REF!</f>
        <v>#REF!</v>
      </c>
      <c r="D41" s="329" t="e">
        <f t="shared" si="10"/>
        <v>#REF!</v>
      </c>
      <c r="E41" s="328" t="e">
        <f t="shared" si="11"/>
        <v>#REF!</v>
      </c>
      <c r="F41" s="330">
        <v>10</v>
      </c>
      <c r="G41" s="328" t="e">
        <f t="shared" si="12"/>
        <v>#REF!</v>
      </c>
      <c r="H41" s="327">
        <v>20</v>
      </c>
      <c r="I41" s="328" t="e">
        <f t="shared" si="13"/>
        <v>#REF!</v>
      </c>
      <c r="J41" s="330">
        <v>40</v>
      </c>
      <c r="K41" s="328" t="e">
        <f t="shared" si="14"/>
        <v>#REF!</v>
      </c>
      <c r="L41" s="330">
        <v>25</v>
      </c>
      <c r="M41" s="328" t="e">
        <f t="shared" si="15"/>
        <v>#REF!</v>
      </c>
      <c r="N41" s="330">
        <v>5</v>
      </c>
      <c r="O41" s="328"/>
      <c r="P41" s="330"/>
      <c r="Q41" s="328" t="e">
        <f t="shared" si="16"/>
        <v>#REF!</v>
      </c>
      <c r="R41" s="327">
        <f t="shared" si="9"/>
        <v>100</v>
      </c>
      <c r="T41" s="353" t="e">
        <f>C41-Q41</f>
        <v>#REF!</v>
      </c>
    </row>
    <row r="42" spans="1:20" s="359" customFormat="1" x14ac:dyDescent="0.2">
      <c r="A42" s="321" t="e">
        <f>Orçam.!#REF!</f>
        <v>#REF!</v>
      </c>
      <c r="B42" s="360" t="e">
        <f>Orçam.!#REF!</f>
        <v>#REF!</v>
      </c>
      <c r="C42" s="328" t="e">
        <f>Orçam.!#REF!</f>
        <v>#REF!</v>
      </c>
      <c r="D42" s="329" t="e">
        <f t="shared" si="10"/>
        <v>#REF!</v>
      </c>
      <c r="E42" s="328" t="e">
        <f t="shared" si="11"/>
        <v>#REF!</v>
      </c>
      <c r="F42" s="330">
        <v>10</v>
      </c>
      <c r="G42" s="328" t="e">
        <f t="shared" si="12"/>
        <v>#REF!</v>
      </c>
      <c r="H42" s="327">
        <v>20</v>
      </c>
      <c r="I42" s="328" t="e">
        <f t="shared" si="13"/>
        <v>#REF!</v>
      </c>
      <c r="J42" s="330">
        <v>40</v>
      </c>
      <c r="K42" s="328" t="e">
        <f t="shared" si="14"/>
        <v>#REF!</v>
      </c>
      <c r="L42" s="330">
        <v>25</v>
      </c>
      <c r="M42" s="328" t="e">
        <f t="shared" si="15"/>
        <v>#REF!</v>
      </c>
      <c r="N42" s="330">
        <v>5</v>
      </c>
      <c r="O42" s="328"/>
      <c r="P42" s="330"/>
      <c r="Q42" s="328" t="e">
        <f t="shared" si="16"/>
        <v>#REF!</v>
      </c>
      <c r="R42" s="327">
        <f t="shared" si="9"/>
        <v>100</v>
      </c>
      <c r="T42" s="353" t="e">
        <f t="shared" si="3"/>
        <v>#REF!</v>
      </c>
    </row>
    <row r="43" spans="1:20" s="359" customFormat="1" x14ac:dyDescent="0.2">
      <c r="A43" s="321" t="e">
        <f>Orçam.!#REF!</f>
        <v>#REF!</v>
      </c>
      <c r="B43" s="360" t="e">
        <f>Orçam.!#REF!</f>
        <v>#REF!</v>
      </c>
      <c r="C43" s="328" t="e">
        <f>Orçam.!#REF!</f>
        <v>#REF!</v>
      </c>
      <c r="D43" s="329" t="e">
        <f t="shared" si="10"/>
        <v>#REF!</v>
      </c>
      <c r="E43" s="328" t="e">
        <f t="shared" si="11"/>
        <v>#REF!</v>
      </c>
      <c r="F43" s="330">
        <v>10</v>
      </c>
      <c r="G43" s="328" t="e">
        <f t="shared" si="12"/>
        <v>#REF!</v>
      </c>
      <c r="H43" s="327">
        <v>20</v>
      </c>
      <c r="I43" s="328" t="e">
        <f t="shared" si="13"/>
        <v>#REF!</v>
      </c>
      <c r="J43" s="330">
        <v>40</v>
      </c>
      <c r="K43" s="328" t="e">
        <f t="shared" si="14"/>
        <v>#REF!</v>
      </c>
      <c r="L43" s="330">
        <v>25</v>
      </c>
      <c r="M43" s="328" t="e">
        <f t="shared" si="15"/>
        <v>#REF!</v>
      </c>
      <c r="N43" s="330">
        <v>5</v>
      </c>
      <c r="O43" s="328"/>
      <c r="P43" s="330"/>
      <c r="Q43" s="328" t="e">
        <f t="shared" si="16"/>
        <v>#REF!</v>
      </c>
      <c r="R43" s="327">
        <f t="shared" si="9"/>
        <v>100</v>
      </c>
      <c r="T43" s="353" t="e">
        <f t="shared" si="3"/>
        <v>#REF!</v>
      </c>
    </row>
    <row r="44" spans="1:20" s="359" customFormat="1" x14ac:dyDescent="0.2">
      <c r="A44" s="317" t="str">
        <f>Resumo!A18</f>
        <v>3.4</v>
      </c>
      <c r="B44" s="355" t="str">
        <f>Resumo!B18</f>
        <v>ELEMENTOS AUXILIARES</v>
      </c>
      <c r="C44" s="323"/>
      <c r="D44" s="329"/>
      <c r="E44" s="328"/>
      <c r="F44" s="330"/>
      <c r="G44" s="328"/>
      <c r="H44" s="327"/>
      <c r="I44" s="328"/>
      <c r="J44" s="330"/>
      <c r="K44" s="328"/>
      <c r="L44" s="330"/>
      <c r="M44" s="328"/>
      <c r="N44" s="330"/>
      <c r="O44" s="328"/>
      <c r="P44" s="330"/>
      <c r="Q44" s="328"/>
      <c r="R44" s="327"/>
      <c r="T44" s="353">
        <f t="shared" si="3"/>
        <v>0</v>
      </c>
    </row>
    <row r="45" spans="1:20" s="359" customFormat="1" x14ac:dyDescent="0.2">
      <c r="A45" s="320" t="e">
        <f>Orçam.!#REF!</f>
        <v>#REF!</v>
      </c>
      <c r="B45" s="360" t="e">
        <f>Orçam.!#REF!</f>
        <v>#REF!</v>
      </c>
      <c r="C45" s="328" t="e">
        <f>Orçam.!#REF!</f>
        <v>#REF!</v>
      </c>
      <c r="D45" s="329" t="e">
        <f t="shared" ref="D45:D51" si="17">C45/$C$85</f>
        <v>#REF!</v>
      </c>
      <c r="E45" s="328" t="e">
        <f t="shared" ref="E45:E51" si="18">$C45*F45/100</f>
        <v>#REF!</v>
      </c>
      <c r="F45" s="330">
        <v>10</v>
      </c>
      <c r="G45" s="328" t="e">
        <f t="shared" ref="G45:G51" si="19">$C45*H45/100</f>
        <v>#REF!</v>
      </c>
      <c r="H45" s="327">
        <v>20</v>
      </c>
      <c r="I45" s="328" t="e">
        <f t="shared" ref="I45:I51" si="20">$C45*J45/100</f>
        <v>#REF!</v>
      </c>
      <c r="J45" s="330">
        <v>40</v>
      </c>
      <c r="K45" s="328" t="e">
        <f t="shared" ref="K45:K51" si="21">$C45*L45/100</f>
        <v>#REF!</v>
      </c>
      <c r="L45" s="330">
        <v>20</v>
      </c>
      <c r="M45" s="328" t="e">
        <f t="shared" ref="M45:M46" si="22">$C45*N45/100-0.01</f>
        <v>#REF!</v>
      </c>
      <c r="N45" s="330">
        <v>10</v>
      </c>
      <c r="O45" s="328"/>
      <c r="P45" s="330"/>
      <c r="Q45" s="328" t="e">
        <f t="shared" ref="Q45:Q51" si="23">E45+G45+I45+K45+M45+O45</f>
        <v>#REF!</v>
      </c>
      <c r="R45" s="327">
        <f t="shared" si="9"/>
        <v>100</v>
      </c>
      <c r="T45" s="353" t="e">
        <f t="shared" si="3"/>
        <v>#REF!</v>
      </c>
    </row>
    <row r="46" spans="1:20" s="359" customFormat="1" ht="51" x14ac:dyDescent="0.2">
      <c r="A46" s="320" t="str">
        <f>Orçam.!A36</f>
        <v>3.4.1</v>
      </c>
      <c r="B46" s="360" t="str">
        <f>Orçam.!D36</f>
        <v>(COMPOSIÇÃO REPRESENTATIVA) POÇO DE VISITA CIRCULAR PARA ESGOTO, EM CONCRETO PRÉ-MOLDADO, DIÂMETRO INTERNO = 1,0 M, PROFUNDIDADE DE 1,50 A 2,00 M, INCLUINDO TAMPÃO DE FERRO FUNDIDO, DIÂMETRO DE 60 CM. AF_04/2018</v>
      </c>
      <c r="C46" s="328">
        <f>Orçam.!J36</f>
        <v>45269.52</v>
      </c>
      <c r="D46" s="329" t="e">
        <f t="shared" si="17"/>
        <v>#REF!</v>
      </c>
      <c r="E46" s="328">
        <f t="shared" si="18"/>
        <v>4526.95</v>
      </c>
      <c r="F46" s="330">
        <v>10</v>
      </c>
      <c r="G46" s="328">
        <f t="shared" si="19"/>
        <v>9053.9</v>
      </c>
      <c r="H46" s="327">
        <v>20</v>
      </c>
      <c r="I46" s="328">
        <f t="shared" si="20"/>
        <v>18107.810000000001</v>
      </c>
      <c r="J46" s="330">
        <v>40</v>
      </c>
      <c r="K46" s="328">
        <f t="shared" si="21"/>
        <v>9053.9</v>
      </c>
      <c r="L46" s="330">
        <v>20</v>
      </c>
      <c r="M46" s="328">
        <f t="shared" si="22"/>
        <v>4526.9399999999996</v>
      </c>
      <c r="N46" s="330">
        <v>10</v>
      </c>
      <c r="O46" s="328"/>
      <c r="P46" s="330"/>
      <c r="Q46" s="328">
        <f t="shared" si="23"/>
        <v>45269.5</v>
      </c>
      <c r="R46" s="327">
        <f t="shared" si="9"/>
        <v>100</v>
      </c>
      <c r="T46" s="353">
        <f t="shared" si="3"/>
        <v>0.02</v>
      </c>
    </row>
    <row r="47" spans="1:20" s="359" customFormat="1" ht="51" x14ac:dyDescent="0.2">
      <c r="A47" s="320" t="str">
        <f>Orçam.!A37</f>
        <v>3.4.2</v>
      </c>
      <c r="B47" s="360" t="str">
        <f>Orçam.!D37</f>
        <v>(COMPOSIÇÃO REPRESENTATIVA) POÇO DE VISITA CIRCULAR PARA ESGOTO, EM CONCRETO PRÉ-MOLDADO, DIÂMETRO INTERNO = 1,0 M, PROFUNDIDADE DE 2,00 A 2,50 M, INCLUINDO TAMPÃO DE FERRO FUNDIDO, DIÂMETRO DE 60 CM. AF_04/2018</v>
      </c>
      <c r="C47" s="328">
        <f>Orçam.!J37</f>
        <v>19028.97</v>
      </c>
      <c r="D47" s="329" t="e">
        <f t="shared" si="17"/>
        <v>#REF!</v>
      </c>
      <c r="E47" s="328">
        <f t="shared" si="18"/>
        <v>1902.9</v>
      </c>
      <c r="F47" s="330">
        <v>10</v>
      </c>
      <c r="G47" s="328">
        <f t="shared" si="19"/>
        <v>3805.79</v>
      </c>
      <c r="H47" s="327">
        <v>20</v>
      </c>
      <c r="I47" s="328">
        <f t="shared" si="20"/>
        <v>7611.59</v>
      </c>
      <c r="J47" s="330">
        <v>40</v>
      </c>
      <c r="K47" s="328">
        <f t="shared" si="21"/>
        <v>3805.79</v>
      </c>
      <c r="L47" s="330">
        <v>20</v>
      </c>
      <c r="M47" s="328">
        <f>$C47*N47/100</f>
        <v>1902.9</v>
      </c>
      <c r="N47" s="330">
        <v>10</v>
      </c>
      <c r="O47" s="328"/>
      <c r="P47" s="330"/>
      <c r="Q47" s="328">
        <f t="shared" si="23"/>
        <v>19028.97</v>
      </c>
      <c r="R47" s="327">
        <f t="shared" si="9"/>
        <v>100</v>
      </c>
      <c r="T47" s="353">
        <f t="shared" si="3"/>
        <v>0</v>
      </c>
    </row>
    <row r="48" spans="1:20" s="359" customFormat="1" x14ac:dyDescent="0.2">
      <c r="A48" s="320" t="e">
        <f>Orçam.!#REF!</f>
        <v>#REF!</v>
      </c>
      <c r="B48" s="360" t="e">
        <f>Orçam.!#REF!</f>
        <v>#REF!</v>
      </c>
      <c r="C48" s="328" t="e">
        <f>Orçam.!#REF!</f>
        <v>#REF!</v>
      </c>
      <c r="D48" s="329" t="e">
        <f t="shared" si="17"/>
        <v>#REF!</v>
      </c>
      <c r="E48" s="328" t="e">
        <f t="shared" si="18"/>
        <v>#REF!</v>
      </c>
      <c r="F48" s="330">
        <v>10</v>
      </c>
      <c r="G48" s="328" t="e">
        <f t="shared" si="19"/>
        <v>#REF!</v>
      </c>
      <c r="H48" s="327">
        <v>20</v>
      </c>
      <c r="I48" s="328" t="e">
        <f t="shared" si="20"/>
        <v>#REF!</v>
      </c>
      <c r="J48" s="330">
        <v>40</v>
      </c>
      <c r="K48" s="328" t="e">
        <f t="shared" si="21"/>
        <v>#REF!</v>
      </c>
      <c r="L48" s="330">
        <v>20</v>
      </c>
      <c r="M48" s="328" t="e">
        <f>$C48*N48/100</f>
        <v>#REF!</v>
      </c>
      <c r="N48" s="330">
        <v>10</v>
      </c>
      <c r="O48" s="328"/>
      <c r="P48" s="330"/>
      <c r="Q48" s="328" t="e">
        <f t="shared" si="23"/>
        <v>#REF!</v>
      </c>
      <c r="R48" s="327">
        <f t="shared" si="9"/>
        <v>100</v>
      </c>
      <c r="T48" s="353" t="e">
        <f t="shared" si="3"/>
        <v>#REF!</v>
      </c>
    </row>
    <row r="49" spans="1:20" s="359" customFormat="1" x14ac:dyDescent="0.2">
      <c r="A49" s="320" t="e">
        <f>Orçam.!#REF!</f>
        <v>#REF!</v>
      </c>
      <c r="B49" s="360" t="e">
        <f>Orçam.!#REF!</f>
        <v>#REF!</v>
      </c>
      <c r="C49" s="328" t="e">
        <f>Orçam.!#REF!</f>
        <v>#REF!</v>
      </c>
      <c r="D49" s="329" t="e">
        <f t="shared" si="17"/>
        <v>#REF!</v>
      </c>
      <c r="E49" s="328" t="e">
        <f t="shared" si="18"/>
        <v>#REF!</v>
      </c>
      <c r="F49" s="330">
        <v>10</v>
      </c>
      <c r="G49" s="328" t="e">
        <f t="shared" si="19"/>
        <v>#REF!</v>
      </c>
      <c r="H49" s="327">
        <v>20</v>
      </c>
      <c r="I49" s="328" t="e">
        <f t="shared" si="20"/>
        <v>#REF!</v>
      </c>
      <c r="J49" s="330">
        <v>40</v>
      </c>
      <c r="K49" s="328" t="e">
        <f t="shared" si="21"/>
        <v>#REF!</v>
      </c>
      <c r="L49" s="330">
        <v>20</v>
      </c>
      <c r="M49" s="328" t="e">
        <f>$C49*N49/100</f>
        <v>#REF!</v>
      </c>
      <c r="N49" s="330">
        <v>10</v>
      </c>
      <c r="O49" s="328"/>
      <c r="P49" s="330"/>
      <c r="Q49" s="328" t="e">
        <f t="shared" si="23"/>
        <v>#REF!</v>
      </c>
      <c r="R49" s="327">
        <f t="shared" si="9"/>
        <v>100</v>
      </c>
      <c r="T49" s="353" t="e">
        <f t="shared" si="3"/>
        <v>#REF!</v>
      </c>
    </row>
    <row r="50" spans="1:20" s="359" customFormat="1" ht="38.25" x14ac:dyDescent="0.2">
      <c r="A50" s="320" t="str">
        <f>Orçam.!A38</f>
        <v>3.4.3</v>
      </c>
      <c r="B50" s="360" t="str">
        <f>Orçam.!D38</f>
        <v>BOCA DE LOBO EM ALVENARIA TIJOLO MACICO, REVESTIDA C/ ARGAMASSA DE CIMENTO E AREIA 1:3, SOBRE LASTRO DE CONCRETO 10CM E TAMPA DE CONCRETO ARMADO</v>
      </c>
      <c r="C50" s="328">
        <f>Orçam.!J38</f>
        <v>95230.26</v>
      </c>
      <c r="D50" s="329" t="e">
        <f t="shared" si="17"/>
        <v>#REF!</v>
      </c>
      <c r="E50" s="328">
        <f t="shared" si="18"/>
        <v>9523.0300000000007</v>
      </c>
      <c r="F50" s="330">
        <v>10</v>
      </c>
      <c r="G50" s="328">
        <f t="shared" si="19"/>
        <v>19046.05</v>
      </c>
      <c r="H50" s="327">
        <v>20</v>
      </c>
      <c r="I50" s="328">
        <f t="shared" si="20"/>
        <v>38092.1</v>
      </c>
      <c r="J50" s="330">
        <v>40</v>
      </c>
      <c r="K50" s="328">
        <f t="shared" si="21"/>
        <v>19046.05</v>
      </c>
      <c r="L50" s="330">
        <v>20</v>
      </c>
      <c r="M50" s="328">
        <f>$C50*N50/100</f>
        <v>9523.0300000000007</v>
      </c>
      <c r="N50" s="330">
        <v>10</v>
      </c>
      <c r="O50" s="328"/>
      <c r="P50" s="330"/>
      <c r="Q50" s="328">
        <f t="shared" si="23"/>
        <v>95230.26</v>
      </c>
      <c r="R50" s="327">
        <f t="shared" si="9"/>
        <v>100</v>
      </c>
      <c r="T50" s="353">
        <f t="shared" si="3"/>
        <v>0</v>
      </c>
    </row>
    <row r="51" spans="1:20" s="359" customFormat="1" x14ac:dyDescent="0.2">
      <c r="A51" s="320" t="e">
        <f>Orçam.!#REF!</f>
        <v>#REF!</v>
      </c>
      <c r="B51" s="360" t="e">
        <f>Orçam.!#REF!</f>
        <v>#REF!</v>
      </c>
      <c r="C51" s="328" t="e">
        <f>Orçam.!#REF!</f>
        <v>#REF!</v>
      </c>
      <c r="D51" s="329" t="e">
        <f t="shared" si="17"/>
        <v>#REF!</v>
      </c>
      <c r="E51" s="328" t="e">
        <f t="shared" si="18"/>
        <v>#REF!</v>
      </c>
      <c r="F51" s="330">
        <v>10</v>
      </c>
      <c r="G51" s="328" t="e">
        <f t="shared" si="19"/>
        <v>#REF!</v>
      </c>
      <c r="H51" s="327">
        <v>20</v>
      </c>
      <c r="I51" s="328" t="e">
        <f t="shared" si="20"/>
        <v>#REF!</v>
      </c>
      <c r="J51" s="330">
        <v>40</v>
      </c>
      <c r="K51" s="328" t="e">
        <f t="shared" si="21"/>
        <v>#REF!</v>
      </c>
      <c r="L51" s="330">
        <v>20</v>
      </c>
      <c r="M51" s="328" t="e">
        <f>$C51*N51/100</f>
        <v>#REF!</v>
      </c>
      <c r="N51" s="330">
        <v>10</v>
      </c>
      <c r="O51" s="328"/>
      <c r="P51" s="330"/>
      <c r="Q51" s="328" t="e">
        <f t="shared" si="23"/>
        <v>#REF!</v>
      </c>
      <c r="R51" s="327">
        <f t="shared" si="9"/>
        <v>100</v>
      </c>
      <c r="T51" s="353" t="e">
        <f t="shared" si="3"/>
        <v>#REF!</v>
      </c>
    </row>
    <row r="52" spans="1:20" s="359" customFormat="1" x14ac:dyDescent="0.2">
      <c r="A52" s="317" t="str">
        <f>Resumo!A19</f>
        <v>3.5</v>
      </c>
      <c r="B52" s="355" t="str">
        <f>Resumo!B19</f>
        <v>SINALIZAÇÃO</v>
      </c>
      <c r="C52" s="323"/>
      <c r="D52" s="329"/>
      <c r="E52" s="328"/>
      <c r="F52" s="330"/>
      <c r="G52" s="328"/>
      <c r="H52" s="327"/>
      <c r="I52" s="328"/>
      <c r="J52" s="330"/>
      <c r="K52" s="328"/>
      <c r="L52" s="330"/>
      <c r="M52" s="328"/>
      <c r="N52" s="330"/>
      <c r="O52" s="328"/>
      <c r="P52" s="330"/>
      <c r="Q52" s="328"/>
      <c r="R52" s="327"/>
      <c r="T52" s="353">
        <f t="shared" si="3"/>
        <v>0</v>
      </c>
    </row>
    <row r="53" spans="1:20" s="359" customFormat="1" x14ac:dyDescent="0.2">
      <c r="A53" s="320" t="str">
        <f>Orçam.!A41</f>
        <v>3.5.1</v>
      </c>
      <c r="B53" s="357" t="str">
        <f>Orçam.!D41</f>
        <v>SINALIZACAO DE TRANSITO - NOTURNA</v>
      </c>
      <c r="C53" s="328">
        <f>Orçam.!J41</f>
        <v>2315.65</v>
      </c>
      <c r="D53" s="329" t="e">
        <f>C53/$C$85</f>
        <v>#REF!</v>
      </c>
      <c r="E53" s="328">
        <f>$C53*F53/100</f>
        <v>2315.65</v>
      </c>
      <c r="F53" s="330">
        <v>100</v>
      </c>
      <c r="G53" s="328"/>
      <c r="H53" s="327"/>
      <c r="I53" s="328"/>
      <c r="J53" s="330"/>
      <c r="K53" s="328"/>
      <c r="L53" s="330"/>
      <c r="M53" s="328"/>
      <c r="N53" s="330"/>
      <c r="O53" s="328"/>
      <c r="P53" s="330"/>
      <c r="Q53" s="328">
        <f t="shared" ref="Q53" si="24">E53+G53+I53+K53+M53+O53</f>
        <v>2315.65</v>
      </c>
      <c r="R53" s="327">
        <f t="shared" si="9"/>
        <v>100</v>
      </c>
      <c r="T53" s="353">
        <f t="shared" si="3"/>
        <v>0</v>
      </c>
    </row>
    <row r="54" spans="1:20" s="359" customFormat="1" x14ac:dyDescent="0.2">
      <c r="A54" s="320"/>
      <c r="B54" s="357"/>
      <c r="C54" s="328"/>
      <c r="D54" s="329"/>
      <c r="E54" s="328"/>
      <c r="F54" s="330"/>
      <c r="G54" s="328"/>
      <c r="H54" s="327"/>
      <c r="I54" s="328"/>
      <c r="J54" s="330"/>
      <c r="K54" s="328"/>
      <c r="L54" s="330"/>
      <c r="M54" s="328"/>
      <c r="N54" s="330"/>
      <c r="O54" s="328"/>
      <c r="P54" s="330"/>
      <c r="Q54" s="328"/>
      <c r="R54" s="327"/>
      <c r="T54" s="353">
        <f>C54-Q54</f>
        <v>0</v>
      </c>
    </row>
    <row r="55" spans="1:20" s="315" customFormat="1" x14ac:dyDescent="0.2">
      <c r="A55" s="317">
        <f>Resumo!A21</f>
        <v>4</v>
      </c>
      <c r="B55" s="355" t="str">
        <f>Resumo!B21</f>
        <v>PAVIMENTAÇÃO EM TSD</v>
      </c>
      <c r="C55" s="323"/>
      <c r="D55" s="329"/>
      <c r="E55" s="323"/>
      <c r="F55" s="325"/>
      <c r="G55" s="323"/>
      <c r="H55" s="326"/>
      <c r="I55" s="323"/>
      <c r="J55" s="325"/>
      <c r="K55" s="323"/>
      <c r="L55" s="325"/>
      <c r="M55" s="323"/>
      <c r="N55" s="325"/>
      <c r="O55" s="323"/>
      <c r="P55" s="325"/>
      <c r="Q55" s="323"/>
      <c r="R55" s="327"/>
      <c r="T55" s="353">
        <f t="shared" si="3"/>
        <v>0</v>
      </c>
    </row>
    <row r="56" spans="1:20" s="359" customFormat="1" x14ac:dyDescent="0.2">
      <c r="A56" s="317" t="str">
        <f>Resumo!A22</f>
        <v>4.1</v>
      </c>
      <c r="B56" s="361" t="str">
        <f>Resumo!B22</f>
        <v>TERRAPLENAGEM</v>
      </c>
      <c r="C56" s="328"/>
      <c r="D56" s="329"/>
      <c r="E56" s="328"/>
      <c r="F56" s="330"/>
      <c r="G56" s="328"/>
      <c r="H56" s="327"/>
      <c r="I56" s="328"/>
      <c r="J56" s="330"/>
      <c r="K56" s="328"/>
      <c r="L56" s="330"/>
      <c r="M56" s="328"/>
      <c r="N56" s="330"/>
      <c r="O56" s="328"/>
      <c r="P56" s="330"/>
      <c r="Q56" s="328"/>
      <c r="R56" s="327"/>
      <c r="T56" s="353">
        <f t="shared" si="3"/>
        <v>0</v>
      </c>
    </row>
    <row r="57" spans="1:20" s="359" customFormat="1" ht="25.5" x14ac:dyDescent="0.2">
      <c r="A57" s="320" t="str">
        <f>Orçam.!A45</f>
        <v>4.1.1</v>
      </c>
      <c r="B57" s="362" t="str">
        <f>Orçam.!D45</f>
        <v>SERVICOS TOPOGRAFICOS PARA PAVIMENTACAO, INCLUSIVE NOTA DE SERVICOS, ACOMPANHAMENTO E GREIDE</v>
      </c>
      <c r="C57" s="328">
        <f>Orçam.!J45</f>
        <v>16372.38</v>
      </c>
      <c r="D57" s="329" t="e">
        <f>C57/$C$85</f>
        <v>#REF!</v>
      </c>
      <c r="E57" s="328">
        <f t="shared" ref="E57:E60" si="25">$C57*F57/100</f>
        <v>8186.19</v>
      </c>
      <c r="F57" s="330">
        <v>50</v>
      </c>
      <c r="G57" s="328">
        <f t="shared" ref="G57:G60" si="26">$C57*H57/100</f>
        <v>4911.71</v>
      </c>
      <c r="H57" s="327">
        <v>30</v>
      </c>
      <c r="I57" s="328">
        <f t="shared" ref="I57:I60" si="27">$C57*J57/100</f>
        <v>3274.48</v>
      </c>
      <c r="J57" s="330">
        <v>20</v>
      </c>
      <c r="K57" s="328"/>
      <c r="L57" s="330"/>
      <c r="M57" s="328"/>
      <c r="N57" s="330"/>
      <c r="O57" s="328"/>
      <c r="P57" s="330"/>
      <c r="Q57" s="328">
        <f t="shared" ref="Q57:R72" si="28">E57+G57+I57+K57+M57+O57</f>
        <v>16372.38</v>
      </c>
      <c r="R57" s="327">
        <f t="shared" si="28"/>
        <v>100</v>
      </c>
      <c r="T57" s="353">
        <f t="shared" si="3"/>
        <v>0</v>
      </c>
    </row>
    <row r="58" spans="1:20" s="359" customFormat="1" ht="25.5" x14ac:dyDescent="0.2">
      <c r="A58" s="320" t="str">
        <f>Orçam.!A46</f>
        <v>4.1.2</v>
      </c>
      <c r="B58" s="362" t="str">
        <f>Orçam.!D46</f>
        <v>ESCAVACAO MECANICA DE MATERIAL 1A. CATEGORIA, PROVENIENTE DE CORTE DE SUBLEITO (C/TRATOR ESTEIRAS 160HP)</v>
      </c>
      <c r="C58" s="328">
        <f>Orçam.!J46</f>
        <v>27539.56</v>
      </c>
      <c r="D58" s="329" t="e">
        <f>C58/$C$85</f>
        <v>#REF!</v>
      </c>
      <c r="E58" s="328">
        <f t="shared" si="25"/>
        <v>13769.78</v>
      </c>
      <c r="F58" s="330">
        <v>50</v>
      </c>
      <c r="G58" s="328">
        <f t="shared" si="26"/>
        <v>8261.8700000000008</v>
      </c>
      <c r="H58" s="327">
        <v>30</v>
      </c>
      <c r="I58" s="328">
        <f>$C58*J58/100-0.01</f>
        <v>5507.9</v>
      </c>
      <c r="J58" s="330">
        <v>20</v>
      </c>
      <c r="K58" s="328"/>
      <c r="L58" s="330"/>
      <c r="M58" s="328"/>
      <c r="N58" s="330"/>
      <c r="O58" s="328"/>
      <c r="P58" s="330"/>
      <c r="Q58" s="328">
        <f t="shared" si="28"/>
        <v>27539.55</v>
      </c>
      <c r="R58" s="327">
        <f t="shared" si="28"/>
        <v>100</v>
      </c>
      <c r="T58" s="353">
        <f t="shared" si="3"/>
        <v>0.01</v>
      </c>
    </row>
    <row r="59" spans="1:20" s="359" customFormat="1" x14ac:dyDescent="0.2">
      <c r="A59" s="320" t="e">
        <f>Orçam.!#REF!</f>
        <v>#REF!</v>
      </c>
      <c r="B59" s="362" t="e">
        <f>Orçam.!#REF!</f>
        <v>#REF!</v>
      </c>
      <c r="C59" s="328" t="e">
        <f>Orçam.!#REF!</f>
        <v>#REF!</v>
      </c>
      <c r="D59" s="329" t="e">
        <f>C59/$C$85</f>
        <v>#REF!</v>
      </c>
      <c r="E59" s="328" t="e">
        <f t="shared" si="25"/>
        <v>#REF!</v>
      </c>
      <c r="F59" s="330">
        <v>50</v>
      </c>
      <c r="G59" s="328" t="e">
        <f t="shared" si="26"/>
        <v>#REF!</v>
      </c>
      <c r="H59" s="327">
        <v>30</v>
      </c>
      <c r="I59" s="328" t="e">
        <f t="shared" si="27"/>
        <v>#REF!</v>
      </c>
      <c r="J59" s="330">
        <v>20</v>
      </c>
      <c r="K59" s="328"/>
      <c r="L59" s="330"/>
      <c r="M59" s="328"/>
      <c r="N59" s="330"/>
      <c r="O59" s="328"/>
      <c r="P59" s="330"/>
      <c r="Q59" s="328" t="e">
        <f t="shared" si="28"/>
        <v>#REF!</v>
      </c>
      <c r="R59" s="327">
        <f t="shared" si="28"/>
        <v>100</v>
      </c>
      <c r="T59" s="353" t="e">
        <f t="shared" si="3"/>
        <v>#REF!</v>
      </c>
    </row>
    <row r="60" spans="1:20" s="359" customFormat="1" ht="38.25" x14ac:dyDescent="0.2">
      <c r="A60" s="320" t="str">
        <f>Orçam.!A47</f>
        <v>4.1.3</v>
      </c>
      <c r="B60" s="362" t="str">
        <f>Orçam.!D47</f>
        <v>TRANSPORTE COM CAMINHÃO BASCULANTE DE 10 M3, EM VIA URBANA EM REVESTIMENTO PRIMÁRIO (UNIDADE: M3XKM). AF_04/2016 - BOTA FORA(2,0KM)</v>
      </c>
      <c r="C60" s="328">
        <f>Orçam.!J47</f>
        <v>83413.19</v>
      </c>
      <c r="D60" s="329" t="e">
        <f>C60/$C$85</f>
        <v>#REF!</v>
      </c>
      <c r="E60" s="328">
        <f t="shared" si="25"/>
        <v>41706.6</v>
      </c>
      <c r="F60" s="330">
        <v>50</v>
      </c>
      <c r="G60" s="328">
        <f t="shared" si="26"/>
        <v>25023.96</v>
      </c>
      <c r="H60" s="327">
        <v>30</v>
      </c>
      <c r="I60" s="328">
        <f t="shared" si="27"/>
        <v>16682.64</v>
      </c>
      <c r="J60" s="330">
        <v>20</v>
      </c>
      <c r="K60" s="328"/>
      <c r="L60" s="330"/>
      <c r="M60" s="328"/>
      <c r="N60" s="330"/>
      <c r="O60" s="328"/>
      <c r="P60" s="330"/>
      <c r="Q60" s="328">
        <f t="shared" si="28"/>
        <v>83413.2</v>
      </c>
      <c r="R60" s="327">
        <f t="shared" si="28"/>
        <v>100</v>
      </c>
      <c r="T60" s="353">
        <f t="shared" si="3"/>
        <v>-0.01</v>
      </c>
    </row>
    <row r="61" spans="1:20" s="359" customFormat="1" x14ac:dyDescent="0.2">
      <c r="A61" s="317" t="str">
        <f>Resumo!A23</f>
        <v>4.2</v>
      </c>
      <c r="B61" s="361" t="str">
        <f>Resumo!B23</f>
        <v>PAVIMENTAÇÃO</v>
      </c>
      <c r="C61" s="323"/>
      <c r="D61" s="329"/>
      <c r="E61" s="328"/>
      <c r="F61" s="330"/>
      <c r="G61" s="328"/>
      <c r="H61" s="327"/>
      <c r="I61" s="328"/>
      <c r="J61" s="330"/>
      <c r="K61" s="328"/>
      <c r="L61" s="330"/>
      <c r="M61" s="328"/>
      <c r="N61" s="330"/>
      <c r="O61" s="328"/>
      <c r="P61" s="330"/>
      <c r="Q61" s="328"/>
      <c r="R61" s="327"/>
      <c r="T61" s="353">
        <f t="shared" si="3"/>
        <v>0</v>
      </c>
    </row>
    <row r="62" spans="1:20" s="359" customFormat="1" ht="25.5" x14ac:dyDescent="0.2">
      <c r="A62" s="321" t="str">
        <f>Orçam.!A48</f>
        <v>4.1.4</v>
      </c>
      <c r="B62" s="362" t="str">
        <f>Orçam.!D48</f>
        <v>REGULARIZACAO E COMPACTACAO DE SUBLEITO ATE 20 CM DE ESPESSURA</v>
      </c>
      <c r="C62" s="334">
        <f>Orçam.!J48</f>
        <v>64230.13</v>
      </c>
      <c r="D62" s="335" t="e">
        <f t="shared" ref="D62:D73" si="29">C62/$C$85</f>
        <v>#REF!</v>
      </c>
      <c r="E62" s="328">
        <f t="shared" ref="E62:E73" si="30">$C62*F62/100</f>
        <v>3211.51</v>
      </c>
      <c r="F62" s="330">
        <v>5</v>
      </c>
      <c r="G62" s="328">
        <f t="shared" ref="G62:G73" si="31">$C62*H62/100</f>
        <v>12846.03</v>
      </c>
      <c r="H62" s="327">
        <v>20</v>
      </c>
      <c r="I62" s="328">
        <f t="shared" ref="I62:I73" si="32">$C62*J62/100</f>
        <v>12846.03</v>
      </c>
      <c r="J62" s="330">
        <v>20</v>
      </c>
      <c r="K62" s="328">
        <f t="shared" ref="K62:K73" si="33">$C62*L62/100</f>
        <v>19269.04</v>
      </c>
      <c r="L62" s="330">
        <v>30</v>
      </c>
      <c r="M62" s="328">
        <f t="shared" ref="M62:M73" si="34">$C62*N62/100</f>
        <v>9634.52</v>
      </c>
      <c r="N62" s="330">
        <v>15</v>
      </c>
      <c r="O62" s="328">
        <f>$C62*P62/100-0.01</f>
        <v>6423</v>
      </c>
      <c r="P62" s="330">
        <v>10</v>
      </c>
      <c r="Q62" s="328">
        <f t="shared" ref="Q62:R79" si="35">E62+G62+I62+K62+M62+O62</f>
        <v>64230.13</v>
      </c>
      <c r="R62" s="327">
        <f t="shared" si="28"/>
        <v>100</v>
      </c>
      <c r="T62" s="353">
        <f t="shared" si="3"/>
        <v>0</v>
      </c>
    </row>
    <row r="63" spans="1:20" s="359" customFormat="1" ht="25.5" x14ac:dyDescent="0.2">
      <c r="A63" s="321" t="str">
        <f>Orçam.!A51</f>
        <v>4.2.1</v>
      </c>
      <c r="B63" s="362" t="str">
        <f>Orçam.!D51</f>
        <v>ESCAVACAO MECANICA, A CEU ABERTO, EM MATERIAL DE 1A CATEGORIA, COM ESCAVADEIRA HIDRAULICA, CAPACIDADE DE 0,78 M3</v>
      </c>
      <c r="C63" s="334">
        <f>Orçam.!J51</f>
        <v>42463.17</v>
      </c>
      <c r="D63" s="335" t="e">
        <f t="shared" si="29"/>
        <v>#REF!</v>
      </c>
      <c r="E63" s="328">
        <f t="shared" si="30"/>
        <v>2123.16</v>
      </c>
      <c r="F63" s="330">
        <v>5</v>
      </c>
      <c r="G63" s="328">
        <f t="shared" si="31"/>
        <v>8492.6299999999992</v>
      </c>
      <c r="H63" s="327">
        <v>20</v>
      </c>
      <c r="I63" s="328">
        <f t="shared" si="32"/>
        <v>8492.6299999999992</v>
      </c>
      <c r="J63" s="330">
        <v>20</v>
      </c>
      <c r="K63" s="328">
        <f t="shared" si="33"/>
        <v>12738.95</v>
      </c>
      <c r="L63" s="330">
        <v>30</v>
      </c>
      <c r="M63" s="328">
        <f t="shared" si="34"/>
        <v>6369.48</v>
      </c>
      <c r="N63" s="330">
        <v>15</v>
      </c>
      <c r="O63" s="328">
        <f>$C63*P63/100-0.01</f>
        <v>4246.3100000000004</v>
      </c>
      <c r="P63" s="330">
        <v>10</v>
      </c>
      <c r="Q63" s="328">
        <f t="shared" si="35"/>
        <v>42463.16</v>
      </c>
      <c r="R63" s="327">
        <f t="shared" si="28"/>
        <v>100</v>
      </c>
      <c r="T63" s="353">
        <f t="shared" si="3"/>
        <v>0.01</v>
      </c>
    </row>
    <row r="64" spans="1:20" s="359" customFormat="1" ht="38.25" x14ac:dyDescent="0.2">
      <c r="A64" s="321" t="str">
        <f>Orçam.!A52</f>
        <v>4.2.2</v>
      </c>
      <c r="B64" s="362" t="str">
        <f>Orçam.!D52</f>
        <v>TRANSPORTE COM CAMINHÃO BASCULANTE DE 14 M3, EM VIA URBANA EM REVESTIMENTO PRIMÁRIO (UNIDADE: M3XKM). AF_04/2016 - JAZIDA (20,0KM)</v>
      </c>
      <c r="C64" s="334">
        <f>Orçam.!J52</f>
        <v>396714.78</v>
      </c>
      <c r="D64" s="335" t="e">
        <f t="shared" si="29"/>
        <v>#REF!</v>
      </c>
      <c r="E64" s="328">
        <f t="shared" si="30"/>
        <v>19835.740000000002</v>
      </c>
      <c r="F64" s="330">
        <v>5</v>
      </c>
      <c r="G64" s="328">
        <f t="shared" si="31"/>
        <v>79342.960000000006</v>
      </c>
      <c r="H64" s="327">
        <v>20</v>
      </c>
      <c r="I64" s="328">
        <f t="shared" si="32"/>
        <v>79342.960000000006</v>
      </c>
      <c r="J64" s="330">
        <v>20</v>
      </c>
      <c r="K64" s="328">
        <f t="shared" si="33"/>
        <v>119014.43</v>
      </c>
      <c r="L64" s="330">
        <v>30</v>
      </c>
      <c r="M64" s="328">
        <f t="shared" si="34"/>
        <v>59507.22</v>
      </c>
      <c r="N64" s="330">
        <v>15</v>
      </c>
      <c r="O64" s="328">
        <f>$C64*P64/100</f>
        <v>39671.480000000003</v>
      </c>
      <c r="P64" s="330">
        <v>10</v>
      </c>
      <c r="Q64" s="328">
        <f t="shared" si="35"/>
        <v>396714.79</v>
      </c>
      <c r="R64" s="327">
        <f t="shared" si="28"/>
        <v>100</v>
      </c>
      <c r="T64" s="353">
        <f t="shared" si="3"/>
        <v>-0.01</v>
      </c>
    </row>
    <row r="65" spans="1:20" s="359" customFormat="1" ht="38.25" x14ac:dyDescent="0.2">
      <c r="A65" s="321" t="str">
        <f>Orçam.!A54</f>
        <v>4.2.4</v>
      </c>
      <c r="B65" s="362" t="str">
        <f>Orçam.!D54</f>
        <v>EXECUÇÃO E COMPACTAÇÃO DE BASE E OU SUB BASE COM SOLO ESTABILIZADO GRANULOMETRICAMENTE - EXCLUSIVE ESCAVAÇÃO, CARGA E TRANSPORTE E SOLO. AF_09/2017</v>
      </c>
      <c r="C65" s="334">
        <f>Orçam.!J54</f>
        <v>114459.56</v>
      </c>
      <c r="D65" s="335" t="e">
        <f t="shared" si="29"/>
        <v>#REF!</v>
      </c>
      <c r="E65" s="328">
        <f t="shared" si="30"/>
        <v>5722.98</v>
      </c>
      <c r="F65" s="330">
        <v>5</v>
      </c>
      <c r="G65" s="328">
        <f t="shared" si="31"/>
        <v>22891.91</v>
      </c>
      <c r="H65" s="327">
        <v>20</v>
      </c>
      <c r="I65" s="328">
        <f t="shared" si="32"/>
        <v>22891.91</v>
      </c>
      <c r="J65" s="330">
        <v>20</v>
      </c>
      <c r="K65" s="328">
        <f t="shared" si="33"/>
        <v>34337.870000000003</v>
      </c>
      <c r="L65" s="330">
        <v>30</v>
      </c>
      <c r="M65" s="328">
        <f t="shared" si="34"/>
        <v>17168.93</v>
      </c>
      <c r="N65" s="330">
        <v>15</v>
      </c>
      <c r="O65" s="328">
        <f>$C65*P65/100</f>
        <v>11445.96</v>
      </c>
      <c r="P65" s="330">
        <v>10</v>
      </c>
      <c r="Q65" s="328">
        <f t="shared" si="35"/>
        <v>114459.56</v>
      </c>
      <c r="R65" s="327">
        <f t="shared" si="28"/>
        <v>100</v>
      </c>
      <c r="T65" s="353">
        <f t="shared" si="3"/>
        <v>0</v>
      </c>
    </row>
    <row r="66" spans="1:20" s="359" customFormat="1" x14ac:dyDescent="0.2">
      <c r="A66" s="321" t="e">
        <f>Orçam.!#REF!</f>
        <v>#REF!</v>
      </c>
      <c r="B66" s="362" t="e">
        <f>Orçam.!#REF!</f>
        <v>#REF!</v>
      </c>
      <c r="C66" s="334" t="e">
        <f>Orçam.!#REF!</f>
        <v>#REF!</v>
      </c>
      <c r="D66" s="335" t="e">
        <f t="shared" si="29"/>
        <v>#REF!</v>
      </c>
      <c r="E66" s="328" t="e">
        <f t="shared" si="30"/>
        <v>#REF!</v>
      </c>
      <c r="F66" s="330">
        <v>5</v>
      </c>
      <c r="G66" s="328" t="e">
        <f t="shared" si="31"/>
        <v>#REF!</v>
      </c>
      <c r="H66" s="327">
        <v>20</v>
      </c>
      <c r="I66" s="328" t="e">
        <f t="shared" si="32"/>
        <v>#REF!</v>
      </c>
      <c r="J66" s="330">
        <v>20</v>
      </c>
      <c r="K66" s="328" t="e">
        <f t="shared" si="33"/>
        <v>#REF!</v>
      </c>
      <c r="L66" s="330">
        <v>30</v>
      </c>
      <c r="M66" s="328" t="e">
        <f t="shared" si="34"/>
        <v>#REF!</v>
      </c>
      <c r="N66" s="330">
        <v>15</v>
      </c>
      <c r="O66" s="328" t="e">
        <f t="shared" ref="O66:O70" si="36">$C66*P66/100+0.01</f>
        <v>#REF!</v>
      </c>
      <c r="P66" s="330">
        <v>10</v>
      </c>
      <c r="Q66" s="328" t="e">
        <f t="shared" si="35"/>
        <v>#REF!</v>
      </c>
      <c r="R66" s="327">
        <f t="shared" ref="R66:R71" si="37">F66+H66+J66+L66+N66+P66</f>
        <v>100</v>
      </c>
      <c r="T66" s="353" t="e">
        <f t="shared" si="3"/>
        <v>#REF!</v>
      </c>
    </row>
    <row r="67" spans="1:20" s="359" customFormat="1" x14ac:dyDescent="0.2">
      <c r="A67" s="321" t="str">
        <f>Orçam.!A58</f>
        <v>4.2.8</v>
      </c>
      <c r="B67" s="362" t="str">
        <f>Orçam.!D58</f>
        <v>EXECUÇÃO DE IMPRIMAÇÃO COM ASFALTO DILUÍDO CM-30</v>
      </c>
      <c r="C67" s="334">
        <f>Orçam.!J58</f>
        <v>262428.25</v>
      </c>
      <c r="D67" s="335" t="e">
        <f t="shared" si="29"/>
        <v>#REF!</v>
      </c>
      <c r="E67" s="328">
        <f t="shared" si="30"/>
        <v>13121.41</v>
      </c>
      <c r="F67" s="330">
        <v>5</v>
      </c>
      <c r="G67" s="328">
        <f t="shared" si="31"/>
        <v>52485.65</v>
      </c>
      <c r="H67" s="327">
        <v>20</v>
      </c>
      <c r="I67" s="328">
        <f t="shared" si="32"/>
        <v>52485.65</v>
      </c>
      <c r="J67" s="330">
        <v>20</v>
      </c>
      <c r="K67" s="328">
        <f t="shared" si="33"/>
        <v>78728.479999999996</v>
      </c>
      <c r="L67" s="330">
        <v>30</v>
      </c>
      <c r="M67" s="328">
        <f t="shared" si="34"/>
        <v>39364.239999999998</v>
      </c>
      <c r="N67" s="330">
        <v>15</v>
      </c>
      <c r="O67" s="328">
        <f>$C67*P67/100</f>
        <v>26242.83</v>
      </c>
      <c r="P67" s="330">
        <v>10</v>
      </c>
      <c r="Q67" s="328">
        <f t="shared" si="35"/>
        <v>262428.26</v>
      </c>
      <c r="R67" s="327">
        <f t="shared" si="28"/>
        <v>100</v>
      </c>
      <c r="T67" s="353">
        <f t="shared" si="3"/>
        <v>-0.01</v>
      </c>
    </row>
    <row r="68" spans="1:20" s="359" customFormat="1" ht="25.5" x14ac:dyDescent="0.2">
      <c r="A68" s="321" t="str">
        <f>Orçam.!A59</f>
        <v>4.2.9</v>
      </c>
      <c r="B68" s="362" t="str">
        <f>Orçam.!D59</f>
        <v xml:space="preserve">CONSTRUÇÃO DE PAVIMENTO COM TRATAMENTO SUPERFICIAL DUPLO, COM EMULSÃO ASFÁLTICA RR-2C, COM CAPA SELANTE. </v>
      </c>
      <c r="C68" s="334">
        <f>Orçam.!J59</f>
        <v>490445.89</v>
      </c>
      <c r="D68" s="335" t="e">
        <f t="shared" si="29"/>
        <v>#REF!</v>
      </c>
      <c r="E68" s="328">
        <f t="shared" si="30"/>
        <v>24522.29</v>
      </c>
      <c r="F68" s="330">
        <v>5</v>
      </c>
      <c r="G68" s="328">
        <f t="shared" si="31"/>
        <v>98089.18</v>
      </c>
      <c r="H68" s="327">
        <v>20</v>
      </c>
      <c r="I68" s="328">
        <f t="shared" si="32"/>
        <v>98089.18</v>
      </c>
      <c r="J68" s="330">
        <v>20</v>
      </c>
      <c r="K68" s="328">
        <f t="shared" si="33"/>
        <v>147133.76999999999</v>
      </c>
      <c r="L68" s="330">
        <v>30</v>
      </c>
      <c r="M68" s="328">
        <f t="shared" si="34"/>
        <v>73566.880000000005</v>
      </c>
      <c r="N68" s="330">
        <v>15</v>
      </c>
      <c r="O68" s="328">
        <f>$C68*P68/100</f>
        <v>49044.59</v>
      </c>
      <c r="P68" s="330">
        <v>10</v>
      </c>
      <c r="Q68" s="328">
        <f t="shared" si="35"/>
        <v>490445.89</v>
      </c>
      <c r="R68" s="327">
        <f t="shared" si="28"/>
        <v>100</v>
      </c>
      <c r="T68" s="353">
        <f t="shared" si="3"/>
        <v>0</v>
      </c>
    </row>
    <row r="69" spans="1:20" s="359" customFormat="1" x14ac:dyDescent="0.2">
      <c r="A69" s="321" t="e">
        <f>Orçam.!#REF!</f>
        <v>#REF!</v>
      </c>
      <c r="B69" s="362" t="e">
        <f>Orçam.!#REF!</f>
        <v>#REF!</v>
      </c>
      <c r="C69" s="334" t="e">
        <f>Orçam.!#REF!</f>
        <v>#REF!</v>
      </c>
      <c r="D69" s="335" t="e">
        <f t="shared" si="29"/>
        <v>#REF!</v>
      </c>
      <c r="E69" s="328" t="e">
        <f t="shared" si="30"/>
        <v>#REF!</v>
      </c>
      <c r="F69" s="330">
        <v>5</v>
      </c>
      <c r="G69" s="328" t="e">
        <f t="shared" si="31"/>
        <v>#REF!</v>
      </c>
      <c r="H69" s="327">
        <v>20</v>
      </c>
      <c r="I69" s="328" t="e">
        <f t="shared" si="32"/>
        <v>#REF!</v>
      </c>
      <c r="J69" s="330">
        <v>20</v>
      </c>
      <c r="K69" s="328" t="e">
        <f t="shared" si="33"/>
        <v>#REF!</v>
      </c>
      <c r="L69" s="330">
        <v>30</v>
      </c>
      <c r="M69" s="328" t="e">
        <f t="shared" si="34"/>
        <v>#REF!</v>
      </c>
      <c r="N69" s="330">
        <v>15</v>
      </c>
      <c r="O69" s="328" t="e">
        <f>$C69*P69/100</f>
        <v>#REF!</v>
      </c>
      <c r="P69" s="330">
        <v>10</v>
      </c>
      <c r="Q69" s="328" t="e">
        <f t="shared" si="35"/>
        <v>#REF!</v>
      </c>
      <c r="R69" s="327">
        <f t="shared" si="28"/>
        <v>100</v>
      </c>
      <c r="T69" s="353" t="e">
        <f>C69-Q69</f>
        <v>#REF!</v>
      </c>
    </row>
    <row r="70" spans="1:20" s="359" customFormat="1" x14ac:dyDescent="0.2">
      <c r="A70" s="321" t="e">
        <f>Orçam.!#REF!</f>
        <v>#REF!</v>
      </c>
      <c r="B70" s="362" t="e">
        <f>Orçam.!#REF!</f>
        <v>#REF!</v>
      </c>
      <c r="C70" s="334" t="e">
        <f>Orçam.!#REF!</f>
        <v>#REF!</v>
      </c>
      <c r="D70" s="335" t="e">
        <f t="shared" si="29"/>
        <v>#REF!</v>
      </c>
      <c r="E70" s="328" t="e">
        <f t="shared" si="30"/>
        <v>#REF!</v>
      </c>
      <c r="F70" s="330">
        <v>5</v>
      </c>
      <c r="G70" s="328" t="e">
        <f t="shared" si="31"/>
        <v>#REF!</v>
      </c>
      <c r="H70" s="327">
        <v>20</v>
      </c>
      <c r="I70" s="328" t="e">
        <f t="shared" si="32"/>
        <v>#REF!</v>
      </c>
      <c r="J70" s="330">
        <v>20</v>
      </c>
      <c r="K70" s="328" t="e">
        <f t="shared" si="33"/>
        <v>#REF!</v>
      </c>
      <c r="L70" s="330">
        <v>30</v>
      </c>
      <c r="M70" s="328" t="e">
        <f t="shared" si="34"/>
        <v>#REF!</v>
      </c>
      <c r="N70" s="330">
        <v>15</v>
      </c>
      <c r="O70" s="328" t="e">
        <f t="shared" si="36"/>
        <v>#REF!</v>
      </c>
      <c r="P70" s="330">
        <v>10</v>
      </c>
      <c r="Q70" s="328" t="e">
        <f t="shared" si="35"/>
        <v>#REF!</v>
      </c>
      <c r="R70" s="327">
        <f t="shared" si="28"/>
        <v>100</v>
      </c>
      <c r="T70" s="353" t="e">
        <f t="shared" si="3"/>
        <v>#REF!</v>
      </c>
    </row>
    <row r="71" spans="1:20" s="359" customFormat="1" x14ac:dyDescent="0.2">
      <c r="A71" s="321" t="e">
        <f>Orçam.!#REF!</f>
        <v>#REF!</v>
      </c>
      <c r="B71" s="362" t="e">
        <f>Orçam.!#REF!</f>
        <v>#REF!</v>
      </c>
      <c r="C71" s="334" t="e">
        <f>Orçam.!#REF!</f>
        <v>#REF!</v>
      </c>
      <c r="D71" s="335" t="e">
        <f t="shared" si="29"/>
        <v>#REF!</v>
      </c>
      <c r="E71" s="328" t="e">
        <f t="shared" si="30"/>
        <v>#REF!</v>
      </c>
      <c r="F71" s="330">
        <v>5</v>
      </c>
      <c r="G71" s="328" t="e">
        <f t="shared" si="31"/>
        <v>#REF!</v>
      </c>
      <c r="H71" s="327">
        <v>20</v>
      </c>
      <c r="I71" s="328" t="e">
        <f t="shared" si="32"/>
        <v>#REF!</v>
      </c>
      <c r="J71" s="330">
        <v>20</v>
      </c>
      <c r="K71" s="328" t="e">
        <f t="shared" si="33"/>
        <v>#REF!</v>
      </c>
      <c r="L71" s="330">
        <v>30</v>
      </c>
      <c r="M71" s="328" t="e">
        <f t="shared" si="34"/>
        <v>#REF!</v>
      </c>
      <c r="N71" s="330">
        <v>15</v>
      </c>
      <c r="O71" s="328" t="e">
        <f>$C71*P71/100</f>
        <v>#REF!</v>
      </c>
      <c r="P71" s="330">
        <v>10</v>
      </c>
      <c r="Q71" s="328" t="e">
        <f t="shared" si="35"/>
        <v>#REF!</v>
      </c>
      <c r="R71" s="327">
        <f t="shared" si="37"/>
        <v>100</v>
      </c>
      <c r="T71" s="353" t="e">
        <f t="shared" si="3"/>
        <v>#REF!</v>
      </c>
    </row>
    <row r="72" spans="1:20" s="359" customFormat="1" ht="51" x14ac:dyDescent="0.2">
      <c r="A72" s="321" t="str">
        <f>Orçam.!A60</f>
        <v>4.2.10</v>
      </c>
      <c r="B72" s="362" t="str">
        <f>Orçam.!D60</f>
        <v>TRANSPORTE DE MATERIAL ASFALTICO, COM CAMINHÃO COM CAPACIDADE DE 30000L EM RODOVIA PAVIMENTADA PARA DISTÂNCIAS MÉDIAS DE TRANSPORTE SUPERIORES A 100 KM. AF_02/2016 - 570 KM - CUIABA</v>
      </c>
      <c r="C72" s="334">
        <f>Orçam.!J60</f>
        <v>55619.46</v>
      </c>
      <c r="D72" s="335" t="e">
        <f t="shared" si="29"/>
        <v>#REF!</v>
      </c>
      <c r="E72" s="328">
        <f t="shared" si="30"/>
        <v>2780.97</v>
      </c>
      <c r="F72" s="330">
        <v>5</v>
      </c>
      <c r="G72" s="328">
        <f t="shared" si="31"/>
        <v>11123.89</v>
      </c>
      <c r="H72" s="327">
        <v>20</v>
      </c>
      <c r="I72" s="328">
        <f t="shared" si="32"/>
        <v>11123.89</v>
      </c>
      <c r="J72" s="330">
        <v>20</v>
      </c>
      <c r="K72" s="328">
        <f t="shared" si="33"/>
        <v>16685.84</v>
      </c>
      <c r="L72" s="330">
        <v>30</v>
      </c>
      <c r="M72" s="328">
        <f t="shared" si="34"/>
        <v>8342.92</v>
      </c>
      <c r="N72" s="330">
        <v>15</v>
      </c>
      <c r="O72" s="328">
        <f>$C72*P72/100-0.01</f>
        <v>5561.94</v>
      </c>
      <c r="P72" s="330">
        <v>10</v>
      </c>
      <c r="Q72" s="328">
        <f t="shared" si="35"/>
        <v>55619.45</v>
      </c>
      <c r="R72" s="327">
        <f t="shared" si="28"/>
        <v>100</v>
      </c>
      <c r="T72" s="353">
        <f t="shared" si="3"/>
        <v>0.01</v>
      </c>
    </row>
    <row r="73" spans="1:20" s="359" customFormat="1" ht="38.25" x14ac:dyDescent="0.2">
      <c r="A73" s="321" t="str">
        <f>Orçam.!A61</f>
        <v>4.2.11</v>
      </c>
      <c r="B73" s="362" t="str">
        <f>Orçam.!D61</f>
        <v>TRANSPORTE COM CAMINHÃO BASCULANTE DE 14 M3, EM VIA URBANA PAVIMENTADA, DMT ACIMA DE 30 KM (UNIDADE: TXKM). AF_04/2016  220 KM - COLIDER</v>
      </c>
      <c r="C73" s="334">
        <f>Orçam.!J61</f>
        <v>112307.5</v>
      </c>
      <c r="D73" s="335" t="e">
        <f t="shared" si="29"/>
        <v>#REF!</v>
      </c>
      <c r="E73" s="328">
        <f t="shared" si="30"/>
        <v>5615.38</v>
      </c>
      <c r="F73" s="330">
        <v>5</v>
      </c>
      <c r="G73" s="328">
        <f t="shared" si="31"/>
        <v>22461.5</v>
      </c>
      <c r="H73" s="327">
        <v>20</v>
      </c>
      <c r="I73" s="328">
        <f t="shared" si="32"/>
        <v>22461.5</v>
      </c>
      <c r="J73" s="330">
        <v>20</v>
      </c>
      <c r="K73" s="328">
        <f t="shared" si="33"/>
        <v>33692.25</v>
      </c>
      <c r="L73" s="330">
        <v>30</v>
      </c>
      <c r="M73" s="328">
        <f t="shared" si="34"/>
        <v>16846.13</v>
      </c>
      <c r="N73" s="330">
        <v>15</v>
      </c>
      <c r="O73" s="328">
        <f>$C73*P73/100-0.01</f>
        <v>11230.74</v>
      </c>
      <c r="P73" s="330">
        <v>10</v>
      </c>
      <c r="Q73" s="328">
        <f t="shared" si="35"/>
        <v>112307.5</v>
      </c>
      <c r="R73" s="327">
        <f t="shared" si="35"/>
        <v>100</v>
      </c>
      <c r="T73" s="353">
        <f t="shared" si="3"/>
        <v>0</v>
      </c>
    </row>
    <row r="74" spans="1:20" s="359" customFormat="1" x14ac:dyDescent="0.2">
      <c r="A74" s="317" t="str">
        <f>Resumo!A24</f>
        <v>4.3</v>
      </c>
      <c r="B74" s="361" t="str">
        <f>Resumo!B24</f>
        <v>CALÇADAS</v>
      </c>
      <c r="C74" s="323"/>
      <c r="D74" s="329"/>
      <c r="E74" s="328"/>
      <c r="F74" s="330"/>
      <c r="G74" s="328"/>
      <c r="H74" s="327"/>
      <c r="I74" s="328"/>
      <c r="J74" s="330"/>
      <c r="K74" s="328"/>
      <c r="L74" s="330"/>
      <c r="M74" s="328"/>
      <c r="N74" s="330"/>
      <c r="O74" s="328"/>
      <c r="P74" s="330"/>
      <c r="Q74" s="328"/>
      <c r="R74" s="327"/>
      <c r="T74" s="353">
        <f t="shared" si="3"/>
        <v>0</v>
      </c>
    </row>
    <row r="75" spans="1:20" s="359" customFormat="1" x14ac:dyDescent="0.2">
      <c r="A75" s="320" t="e">
        <f>Orçam.!#REF!</f>
        <v>#REF!</v>
      </c>
      <c r="B75" s="362" t="e">
        <f>Orçam.!#REF!</f>
        <v>#REF!</v>
      </c>
      <c r="C75" s="328" t="e">
        <f>Orçam.!#REF!</f>
        <v>#REF!</v>
      </c>
      <c r="D75" s="329" t="e">
        <f>C75/$C$85</f>
        <v>#REF!</v>
      </c>
      <c r="E75" s="328"/>
      <c r="F75" s="330"/>
      <c r="G75" s="328"/>
      <c r="H75" s="327"/>
      <c r="I75" s="328" t="e">
        <f>$C75*J75/100</f>
        <v>#REF!</v>
      </c>
      <c r="J75" s="330">
        <v>20</v>
      </c>
      <c r="K75" s="328" t="e">
        <f>$C75*L75/100</f>
        <v>#REF!</v>
      </c>
      <c r="L75" s="330">
        <v>40</v>
      </c>
      <c r="M75" s="328" t="e">
        <f>$C75*N75/100</f>
        <v>#REF!</v>
      </c>
      <c r="N75" s="330">
        <v>20</v>
      </c>
      <c r="O75" s="328" t="e">
        <f>$C75*P75/100-0.01</f>
        <v>#REF!</v>
      </c>
      <c r="P75" s="330">
        <v>20</v>
      </c>
      <c r="Q75" s="328" t="e">
        <f>E75+G75+I75+K75+M75+O75</f>
        <v>#REF!</v>
      </c>
      <c r="R75" s="327">
        <f t="shared" si="35"/>
        <v>100</v>
      </c>
      <c r="T75" s="353" t="e">
        <f t="shared" si="3"/>
        <v>#REF!</v>
      </c>
    </row>
    <row r="76" spans="1:20" s="359" customFormat="1" ht="38.25" x14ac:dyDescent="0.2">
      <c r="A76" s="320" t="str">
        <f>Orçam.!A62</f>
        <v>4.2.12</v>
      </c>
      <c r="B76" s="362" t="str">
        <f>Orçam.!D62</f>
        <v>GUIA (MEIO-FIO) E SARJETA CONJUGADOS DE CONCRETO, MOLDADA IN LOCO EM TRECHO RETO COM EXTRUSORA, GUIA 13 CM BASE X 22 CM ALTURA, SARJETA 30CM BASE X 8,5 CM ALTURA. AF_06/2016</v>
      </c>
      <c r="C76" s="328">
        <f>Orçam.!J62</f>
        <v>432027.33</v>
      </c>
      <c r="D76" s="329" t="e">
        <f>C76/$C$85</f>
        <v>#REF!</v>
      </c>
      <c r="E76" s="328"/>
      <c r="F76" s="330"/>
      <c r="G76" s="328"/>
      <c r="H76" s="327"/>
      <c r="I76" s="328">
        <f>$C76*J76/100</f>
        <v>86405.47</v>
      </c>
      <c r="J76" s="330">
        <v>20</v>
      </c>
      <c r="K76" s="328">
        <f>$C76*L76/100</f>
        <v>172810.93</v>
      </c>
      <c r="L76" s="330">
        <v>40</v>
      </c>
      <c r="M76" s="328">
        <f>$C76*N76/100</f>
        <v>86405.47</v>
      </c>
      <c r="N76" s="330">
        <v>20</v>
      </c>
      <c r="O76" s="328">
        <f>$C76*P76/100-0.01</f>
        <v>86405.46</v>
      </c>
      <c r="P76" s="330">
        <v>20</v>
      </c>
      <c r="Q76" s="328">
        <f>E76+G76+I76+K76+M76+O76</f>
        <v>432027.33</v>
      </c>
      <c r="R76" s="327">
        <f t="shared" si="35"/>
        <v>100</v>
      </c>
      <c r="T76" s="353">
        <f t="shared" si="3"/>
        <v>0</v>
      </c>
    </row>
    <row r="77" spans="1:20" s="359" customFormat="1" ht="38.25" x14ac:dyDescent="0.2">
      <c r="A77" s="320" t="str">
        <f>Orçam.!A66</f>
        <v>4.3.2</v>
      </c>
      <c r="B77" s="362" t="str">
        <f>Orçam.!D66</f>
        <v>EXECUÇÃO DE PASSEIO (CALÇADA) OU PISO DE CONCRETO COM CONCRETO MOLDADO IN LOCO, FEITO EM OBRA, ACABAMENTO CONVENCIONAL, NÃO ARMADO. AF_07/2016</v>
      </c>
      <c r="C77" s="328">
        <f>Orçam.!J66</f>
        <v>687549.74</v>
      </c>
      <c r="D77" s="329" t="e">
        <f>C77/$C$85</f>
        <v>#REF!</v>
      </c>
      <c r="E77" s="328"/>
      <c r="F77" s="330"/>
      <c r="G77" s="328"/>
      <c r="H77" s="327"/>
      <c r="I77" s="328">
        <f>$C77*J77/100</f>
        <v>0</v>
      </c>
      <c r="J77" s="330"/>
      <c r="K77" s="328">
        <f>$C77*L77/100</f>
        <v>0</v>
      </c>
      <c r="L77" s="330"/>
      <c r="M77" s="328">
        <f>$C77*N77/100</f>
        <v>343774.87</v>
      </c>
      <c r="N77" s="330">
        <v>50</v>
      </c>
      <c r="O77" s="328">
        <f>$C77*P77/100-0.01</f>
        <v>343774.86</v>
      </c>
      <c r="P77" s="330">
        <v>50</v>
      </c>
      <c r="Q77" s="328">
        <f>E77+G77+I77+K77+M77+O77</f>
        <v>687549.73</v>
      </c>
      <c r="R77" s="327">
        <f t="shared" ref="R77" si="38">F77+H77+J77+L77+N77+P77</f>
        <v>100</v>
      </c>
      <c r="T77" s="353">
        <f t="shared" ref="T77" si="39">C77-Q77</f>
        <v>0.01</v>
      </c>
    </row>
    <row r="78" spans="1:20" s="359" customFormat="1" x14ac:dyDescent="0.2">
      <c r="A78" s="317" t="str">
        <f>Resumo!A25</f>
        <v>4.4</v>
      </c>
      <c r="B78" s="361" t="str">
        <f>Resumo!B25</f>
        <v>SINALIZAÇÃO VIÁRIA - HORIZONTAL E VERTICAL</v>
      </c>
      <c r="C78" s="323"/>
      <c r="D78" s="329"/>
      <c r="E78" s="328"/>
      <c r="F78" s="330"/>
      <c r="G78" s="328"/>
      <c r="H78" s="327"/>
      <c r="I78" s="328"/>
      <c r="J78" s="330"/>
      <c r="K78" s="328"/>
      <c r="L78" s="330"/>
      <c r="M78" s="328"/>
      <c r="N78" s="330"/>
      <c r="O78" s="328"/>
      <c r="P78" s="330"/>
      <c r="Q78" s="328"/>
      <c r="R78" s="327"/>
      <c r="T78" s="353">
        <f t="shared" ref="T78:T83" si="40">C78-Q78</f>
        <v>0</v>
      </c>
    </row>
    <row r="79" spans="1:20" s="359" customFormat="1" x14ac:dyDescent="0.2">
      <c r="A79" s="322" t="str">
        <f>Orçam.!A70</f>
        <v>4.4.1</v>
      </c>
      <c r="B79" s="363" t="str">
        <f>Orçam.!D70</f>
        <v>CONFECÇÃO DE SUPORTE E TRAVESSA PARA PLACA DE SINALIZAÇÃO</v>
      </c>
      <c r="C79" s="328">
        <f>Orçam.!J70</f>
        <v>7911.4</v>
      </c>
      <c r="D79" s="329" t="e">
        <f>C79/$C$85</f>
        <v>#REF!</v>
      </c>
      <c r="E79" s="328"/>
      <c r="F79" s="330"/>
      <c r="G79" s="328"/>
      <c r="H79" s="327"/>
      <c r="I79" s="328"/>
      <c r="J79" s="330"/>
      <c r="K79" s="328">
        <f t="shared" ref="K79:K83" si="41">$C79*L79/100</f>
        <v>1582.28</v>
      </c>
      <c r="L79" s="330">
        <v>20</v>
      </c>
      <c r="M79" s="328">
        <f t="shared" ref="M79:M83" si="42">$C79*N79/100</f>
        <v>3164.56</v>
      </c>
      <c r="N79" s="330">
        <v>40</v>
      </c>
      <c r="O79" s="328">
        <f>$C79*P79/100-0.01</f>
        <v>3164.55</v>
      </c>
      <c r="P79" s="330">
        <v>40</v>
      </c>
      <c r="Q79" s="328">
        <f t="shared" ref="Q79:Q83" si="43">E79+G79+I79+K79+M79+O79+0.01</f>
        <v>7911.4</v>
      </c>
      <c r="R79" s="327">
        <f t="shared" si="35"/>
        <v>100</v>
      </c>
      <c r="T79" s="353">
        <f t="shared" si="40"/>
        <v>0</v>
      </c>
    </row>
    <row r="80" spans="1:20" s="359" customFormat="1" x14ac:dyDescent="0.2">
      <c r="A80" s="322" t="e">
        <f>Orçam.!#REF!</f>
        <v>#REF!</v>
      </c>
      <c r="B80" s="363" t="e">
        <f>Orçam.!#REF!</f>
        <v>#REF!</v>
      </c>
      <c r="C80" s="328" t="e">
        <f>Orçam.!#REF!</f>
        <v>#REF!</v>
      </c>
      <c r="D80" s="329" t="e">
        <f>C80/$C$85</f>
        <v>#REF!</v>
      </c>
      <c r="E80" s="328"/>
      <c r="F80" s="330"/>
      <c r="G80" s="328"/>
      <c r="H80" s="327"/>
      <c r="I80" s="328"/>
      <c r="J80" s="330"/>
      <c r="K80" s="328" t="e">
        <f t="shared" si="41"/>
        <v>#REF!</v>
      </c>
      <c r="L80" s="330">
        <v>20</v>
      </c>
      <c r="M80" s="328" t="e">
        <f t="shared" si="42"/>
        <v>#REF!</v>
      </c>
      <c r="N80" s="330">
        <v>40</v>
      </c>
      <c r="O80" s="328" t="e">
        <f>$C80*P80/100-0.01</f>
        <v>#REF!</v>
      </c>
      <c r="P80" s="330">
        <v>40</v>
      </c>
      <c r="Q80" s="328" t="e">
        <f t="shared" si="43"/>
        <v>#REF!</v>
      </c>
      <c r="R80" s="327">
        <f t="shared" ref="R80:R83" si="44">F80+H80+J80+L80+N80+P80</f>
        <v>100</v>
      </c>
      <c r="T80" s="353" t="e">
        <f t="shared" si="40"/>
        <v>#REF!</v>
      </c>
    </row>
    <row r="81" spans="1:20" s="359" customFormat="1" x14ac:dyDescent="0.2">
      <c r="A81" s="322" t="e">
        <f>Orçam.!#REF!</f>
        <v>#REF!</v>
      </c>
      <c r="B81" s="363" t="e">
        <f>Orçam.!#REF!</f>
        <v>#REF!</v>
      </c>
      <c r="C81" s="328" t="e">
        <f>Orçam.!#REF!</f>
        <v>#REF!</v>
      </c>
      <c r="D81" s="329" t="e">
        <f>C81/$C$85</f>
        <v>#REF!</v>
      </c>
      <c r="E81" s="328"/>
      <c r="F81" s="330"/>
      <c r="G81" s="328"/>
      <c r="H81" s="327"/>
      <c r="I81" s="328"/>
      <c r="J81" s="330"/>
      <c r="K81" s="328" t="e">
        <f t="shared" si="41"/>
        <v>#REF!</v>
      </c>
      <c r="L81" s="330">
        <v>20</v>
      </c>
      <c r="M81" s="328" t="e">
        <f t="shared" si="42"/>
        <v>#REF!</v>
      </c>
      <c r="N81" s="330">
        <v>40</v>
      </c>
      <c r="O81" s="328" t="e">
        <f t="shared" ref="O81" si="45">$C81*P81/100</f>
        <v>#REF!</v>
      </c>
      <c r="P81" s="330">
        <v>40</v>
      </c>
      <c r="Q81" s="328" t="e">
        <f>E81+G81+I81+K81+M81+O81+0.04</f>
        <v>#REF!</v>
      </c>
      <c r="R81" s="327">
        <f t="shared" si="44"/>
        <v>100</v>
      </c>
      <c r="T81" s="353" t="e">
        <f t="shared" si="40"/>
        <v>#REF!</v>
      </c>
    </row>
    <row r="82" spans="1:20" s="359" customFormat="1" x14ac:dyDescent="0.2">
      <c r="A82" s="322" t="e">
        <f>Orçam.!#REF!</f>
        <v>#REF!</v>
      </c>
      <c r="B82" s="363" t="e">
        <f>Orçam.!#REF!</f>
        <v>#REF!</v>
      </c>
      <c r="C82" s="328" t="e">
        <f>Orçam.!#REF!</f>
        <v>#REF!</v>
      </c>
      <c r="D82" s="329" t="e">
        <f>C82/$C$85</f>
        <v>#REF!</v>
      </c>
      <c r="E82" s="328"/>
      <c r="F82" s="330"/>
      <c r="G82" s="328"/>
      <c r="H82" s="327"/>
      <c r="I82" s="328"/>
      <c r="J82" s="330"/>
      <c r="K82" s="328" t="e">
        <f t="shared" si="41"/>
        <v>#REF!</v>
      </c>
      <c r="L82" s="330">
        <v>20</v>
      </c>
      <c r="M82" s="328" t="e">
        <f t="shared" si="42"/>
        <v>#REF!</v>
      </c>
      <c r="N82" s="330">
        <v>40</v>
      </c>
      <c r="O82" s="328" t="e">
        <f>$C82*P82/100-0.01</f>
        <v>#REF!</v>
      </c>
      <c r="P82" s="330">
        <v>40</v>
      </c>
      <c r="Q82" s="328" t="e">
        <f t="shared" si="43"/>
        <v>#REF!</v>
      </c>
      <c r="R82" s="327">
        <f t="shared" si="44"/>
        <v>100</v>
      </c>
      <c r="T82" s="353" t="e">
        <f t="shared" si="40"/>
        <v>#REF!</v>
      </c>
    </row>
    <row r="83" spans="1:20" s="359" customFormat="1" ht="25.5" x14ac:dyDescent="0.2">
      <c r="A83" s="322" t="str">
        <f>Orçam.!A72</f>
        <v>4.4.3</v>
      </c>
      <c r="B83" s="363" t="str">
        <f>Orçam.!D72</f>
        <v>SINALIZACAO HORIZONTAL COM TINTA RETRORREFLETIVA A BASE DE RESINA ACRILICA COM MICROESFERAS DE VIDRO</v>
      </c>
      <c r="C83" s="328">
        <f>Orçam.!J72</f>
        <v>73579.649999999994</v>
      </c>
      <c r="D83" s="329" t="e">
        <f>C83/$C$85</f>
        <v>#REF!</v>
      </c>
      <c r="E83" s="328"/>
      <c r="F83" s="330"/>
      <c r="G83" s="328"/>
      <c r="H83" s="327"/>
      <c r="I83" s="328"/>
      <c r="J83" s="330"/>
      <c r="K83" s="328">
        <f t="shared" si="41"/>
        <v>14715.93</v>
      </c>
      <c r="L83" s="330">
        <v>20</v>
      </c>
      <c r="M83" s="328">
        <f t="shared" si="42"/>
        <v>29431.86</v>
      </c>
      <c r="N83" s="330">
        <v>40</v>
      </c>
      <c r="O83" s="328">
        <f>$C83*P83/100-0.01</f>
        <v>29431.85</v>
      </c>
      <c r="P83" s="330">
        <v>40</v>
      </c>
      <c r="Q83" s="328">
        <f t="shared" si="43"/>
        <v>73579.649999999994</v>
      </c>
      <c r="R83" s="327">
        <f t="shared" si="44"/>
        <v>100</v>
      </c>
      <c r="T83" s="353">
        <f t="shared" si="40"/>
        <v>0</v>
      </c>
    </row>
    <row r="84" spans="1:20" s="359" customFormat="1" ht="13.5" thickBot="1" x14ac:dyDescent="0.25">
      <c r="A84" s="322"/>
      <c r="B84" s="364"/>
      <c r="C84" s="336"/>
      <c r="D84" s="337"/>
      <c r="E84" s="336"/>
      <c r="F84" s="338"/>
      <c r="G84" s="336"/>
      <c r="H84" s="339"/>
      <c r="I84" s="336"/>
      <c r="J84" s="339"/>
      <c r="K84" s="336"/>
      <c r="L84" s="339"/>
      <c r="M84" s="336"/>
      <c r="N84" s="339"/>
      <c r="O84" s="336"/>
      <c r="P84" s="339"/>
      <c r="Q84" s="336"/>
      <c r="R84" s="339"/>
    </row>
    <row r="85" spans="1:20" s="359" customFormat="1" ht="13.5" thickBot="1" x14ac:dyDescent="0.25">
      <c r="A85" s="1444" t="s">
        <v>17</v>
      </c>
      <c r="B85" s="1445"/>
      <c r="C85" s="340" t="e">
        <f>SUM(C11:C83)</f>
        <v>#REF!</v>
      </c>
      <c r="D85" s="341" t="e">
        <f>SUM(D11:D83)</f>
        <v>#REF!</v>
      </c>
      <c r="E85" s="342" t="e">
        <f>SUM(E11:E83)</f>
        <v>#REF!</v>
      </c>
      <c r="F85" s="343" t="e">
        <f>E85/$C$85</f>
        <v>#REF!</v>
      </c>
      <c r="G85" s="344" t="e">
        <f>SUM(G11:G83)</f>
        <v>#REF!</v>
      </c>
      <c r="H85" s="343" t="e">
        <f>G85/$C$85</f>
        <v>#REF!</v>
      </c>
      <c r="I85" s="345" t="e">
        <f>SUM(I11:I83)</f>
        <v>#REF!</v>
      </c>
      <c r="J85" s="343" t="e">
        <f>I85/$C$85</f>
        <v>#REF!</v>
      </c>
      <c r="K85" s="345" t="e">
        <f>SUM(K11:K83)</f>
        <v>#REF!</v>
      </c>
      <c r="L85" s="343" t="e">
        <f>K85/$C$85</f>
        <v>#REF!</v>
      </c>
      <c r="M85" s="345" t="e">
        <f>SUM(M11:M83)</f>
        <v>#REF!</v>
      </c>
      <c r="N85" s="343" t="e">
        <f>M85/$C$85</f>
        <v>#REF!</v>
      </c>
      <c r="O85" s="345" t="e">
        <f>SUM(O11:O83)</f>
        <v>#REF!</v>
      </c>
      <c r="P85" s="343" t="e">
        <f>O85/$C$85</f>
        <v>#REF!</v>
      </c>
      <c r="Q85" s="345" t="e">
        <f>SUM(Q11:Q83)</f>
        <v>#REF!</v>
      </c>
      <c r="R85" s="346" t="e">
        <f>Q85/$C$85</f>
        <v>#REF!</v>
      </c>
    </row>
    <row r="86" spans="1:20" s="359" customFormat="1" ht="13.5" thickBot="1" x14ac:dyDescent="0.25">
      <c r="A86" s="1446" t="s">
        <v>18</v>
      </c>
      <c r="B86" s="1447"/>
      <c r="C86" s="347"/>
      <c r="D86" s="348"/>
      <c r="E86" s="342" t="e">
        <f>SUM(E85)</f>
        <v>#REF!</v>
      </c>
      <c r="F86" s="349" t="e">
        <f>E86/C85</f>
        <v>#REF!</v>
      </c>
      <c r="G86" s="350" t="e">
        <f t="shared" ref="G86:L86" si="46">E86+G85</f>
        <v>#REF!</v>
      </c>
      <c r="H86" s="349" t="e">
        <f t="shared" si="46"/>
        <v>#REF!</v>
      </c>
      <c r="I86" s="350" t="e">
        <f t="shared" si="46"/>
        <v>#REF!</v>
      </c>
      <c r="J86" s="349" t="e">
        <f t="shared" si="46"/>
        <v>#REF!</v>
      </c>
      <c r="K86" s="350" t="e">
        <f t="shared" si="46"/>
        <v>#REF!</v>
      </c>
      <c r="L86" s="349" t="e">
        <f t="shared" si="46"/>
        <v>#REF!</v>
      </c>
      <c r="M86" s="350" t="e">
        <f t="shared" ref="M86" si="47">K86+M85</f>
        <v>#REF!</v>
      </c>
      <c r="N86" s="349" t="e">
        <f t="shared" ref="N86" si="48">L86+N85</f>
        <v>#REF!</v>
      </c>
      <c r="O86" s="350" t="e">
        <f t="shared" ref="O86" si="49">M86+O85</f>
        <v>#REF!</v>
      </c>
      <c r="P86" s="349" t="e">
        <f>N86+P85</f>
        <v>#REF!</v>
      </c>
      <c r="Q86" s="350"/>
      <c r="R86" s="351"/>
    </row>
    <row r="87" spans="1:20" s="359" customFormat="1" ht="13.5" thickBot="1" x14ac:dyDescent="0.25">
      <c r="A87" s="1436"/>
      <c r="B87" s="1437"/>
      <c r="C87" s="1437"/>
      <c r="D87" s="1437"/>
      <c r="E87" s="1437"/>
      <c r="F87" s="1437"/>
      <c r="G87" s="1437"/>
      <c r="H87" s="1437"/>
      <c r="I87" s="1437"/>
      <c r="J87" s="1437"/>
      <c r="K87" s="1437"/>
      <c r="L87" s="1437"/>
      <c r="M87" s="1437"/>
      <c r="N87" s="1437"/>
      <c r="O87" s="1437"/>
      <c r="P87" s="1437"/>
      <c r="Q87" s="1437"/>
      <c r="R87" s="1438"/>
    </row>
    <row r="89" spans="1:20" x14ac:dyDescent="0.2">
      <c r="B89" s="296" t="s">
        <v>177</v>
      </c>
    </row>
    <row r="90" spans="1:20" x14ac:dyDescent="0.2">
      <c r="B90" s="298" t="s">
        <v>250</v>
      </c>
    </row>
    <row r="91" spans="1:20" x14ac:dyDescent="0.2">
      <c r="C91" s="365"/>
    </row>
  </sheetData>
  <mergeCells count="24">
    <mergeCell ref="A87:R87"/>
    <mergeCell ref="Q9:R9"/>
    <mergeCell ref="A7:R7"/>
    <mergeCell ref="A85:B85"/>
    <mergeCell ref="M9:N9"/>
    <mergeCell ref="O9:P9"/>
    <mergeCell ref="A86:B86"/>
    <mergeCell ref="A8:A10"/>
    <mergeCell ref="B8:B10"/>
    <mergeCell ref="C8:D9"/>
    <mergeCell ref="E8:R8"/>
    <mergeCell ref="E9:F9"/>
    <mergeCell ref="G9:H9"/>
    <mergeCell ref="I9:J9"/>
    <mergeCell ref="K9:L9"/>
    <mergeCell ref="A1:R1"/>
    <mergeCell ref="A2:R2"/>
    <mergeCell ref="B3:O3"/>
    <mergeCell ref="B4:O4"/>
    <mergeCell ref="N6:O6"/>
    <mergeCell ref="M5:O5"/>
    <mergeCell ref="B5:K5"/>
    <mergeCell ref="B6:K6"/>
    <mergeCell ref="P3:R6"/>
  </mergeCells>
  <phoneticPr fontId="0" type="noConversion"/>
  <printOptions horizontalCentered="1"/>
  <pageMargins left="0.39370078740157483" right="0.39370078740157483" top="0.98425196850393704" bottom="0.39370078740157483" header="0.31496062992125984" footer="0.31496062992125984"/>
  <pageSetup paperSize="9" scale="54" fitToHeight="0" orientation="landscape" r:id="rId1"/>
  <headerFooter alignWithMargins="0"/>
  <rowBreaks count="1" manualBreakCount="1">
    <brk id="7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BD36"/>
  <sheetViews>
    <sheetView view="pageBreakPreview" topLeftCell="AW1" zoomScaleSheetLayoutView="100" workbookViewId="0">
      <selection activeCell="BN4" sqref="BN4"/>
    </sheetView>
  </sheetViews>
  <sheetFormatPr defaultRowHeight="12.75" x14ac:dyDescent="0.2"/>
  <cols>
    <col min="1" max="1" width="12.42578125" style="109" customWidth="1"/>
    <col min="2" max="2" width="45.140625" style="109" customWidth="1"/>
    <col min="3" max="3" width="17.140625" style="109" bestFit="1" customWidth="1"/>
    <col min="4" max="4" width="9.28515625" style="109" bestFit="1" customWidth="1"/>
    <col min="5" max="5" width="16" style="109" customWidth="1"/>
    <col min="6" max="6" width="9.42578125" style="109" customWidth="1"/>
    <col min="7" max="7" width="16" style="109" customWidth="1"/>
    <col min="8" max="8" width="9.42578125" style="109" customWidth="1"/>
    <col min="9" max="9" width="16" style="109" customWidth="1"/>
    <col min="10" max="10" width="9.42578125" style="109" customWidth="1"/>
    <col min="11" max="11" width="16" style="109" customWidth="1"/>
    <col min="12" max="12" width="9.42578125" style="109" customWidth="1"/>
    <col min="13" max="13" width="16" style="109" customWidth="1"/>
    <col min="14" max="14" width="9.42578125" style="109" customWidth="1"/>
    <col min="15" max="15" width="16" style="109" customWidth="1"/>
    <col min="16" max="16" width="9.42578125" style="109" customWidth="1"/>
    <col min="17" max="17" width="16" style="109" customWidth="1"/>
    <col min="18" max="18" width="9.42578125" style="109" customWidth="1"/>
    <col min="19" max="19" width="16" style="109" customWidth="1"/>
    <col min="20" max="20" width="9.42578125" style="109" customWidth="1"/>
    <col min="21" max="21" width="16" style="109" customWidth="1"/>
    <col min="22" max="22" width="9.42578125" style="109" customWidth="1"/>
    <col min="23" max="23" width="16.5703125" style="109" customWidth="1"/>
    <col min="24" max="24" width="9.42578125" style="109" customWidth="1"/>
    <col min="25" max="25" width="16.5703125" style="109" customWidth="1"/>
    <col min="26" max="26" width="9.42578125" style="109" customWidth="1"/>
    <col min="27" max="27" width="16.5703125" style="109" customWidth="1"/>
    <col min="28" max="28" width="9.42578125" style="109" customWidth="1"/>
    <col min="29" max="29" width="16.5703125" style="109" customWidth="1"/>
    <col min="30" max="30" width="9.42578125" style="109" customWidth="1"/>
    <col min="31" max="31" width="16.5703125" style="109" customWidth="1"/>
    <col min="32" max="32" width="9.42578125" style="109" customWidth="1"/>
    <col min="33" max="33" width="16.5703125" style="109" customWidth="1"/>
    <col min="34" max="34" width="9.42578125" style="109" customWidth="1"/>
    <col min="35" max="35" width="16.5703125" style="109" customWidth="1"/>
    <col min="36" max="36" width="9.42578125" style="109" customWidth="1"/>
    <col min="37" max="37" width="16.5703125" style="109" customWidth="1"/>
    <col min="38" max="38" width="9.42578125" style="109" customWidth="1"/>
    <col min="39" max="39" width="16.5703125" style="109" customWidth="1"/>
    <col min="40" max="40" width="9.42578125" style="109" customWidth="1"/>
    <col min="41" max="41" width="16.5703125" style="109" customWidth="1"/>
    <col min="42" max="42" width="9.42578125" style="109" customWidth="1"/>
    <col min="43" max="43" width="16.5703125" style="109" customWidth="1"/>
    <col min="44" max="44" width="9.42578125" style="109" customWidth="1"/>
    <col min="45" max="45" width="16.5703125" style="109" customWidth="1"/>
    <col min="46" max="46" width="9.42578125" style="109" customWidth="1"/>
    <col min="47" max="47" width="16.5703125" style="109" customWidth="1"/>
    <col min="48" max="48" width="9.42578125" style="109" customWidth="1"/>
    <col min="49" max="49" width="16.5703125" style="109" customWidth="1"/>
    <col min="50" max="50" width="9.42578125" style="109" customWidth="1"/>
    <col min="51" max="51" width="16.5703125" style="109" customWidth="1"/>
    <col min="52" max="52" width="9.42578125" style="109" customWidth="1"/>
    <col min="53" max="53" width="16" style="109" customWidth="1"/>
    <col min="54" max="54" width="9.42578125" style="109" customWidth="1"/>
    <col min="55" max="55" width="9.140625" style="109"/>
    <col min="56" max="56" width="10.85546875" style="109" customWidth="1"/>
    <col min="57" max="16384" width="9.140625" style="109"/>
  </cols>
  <sheetData>
    <row r="1" spans="1:56" ht="48" customHeight="1" x14ac:dyDescent="0.2">
      <c r="A1" s="1183" t="s">
        <v>556</v>
      </c>
      <c r="B1" s="1184"/>
      <c r="C1" s="829" t="s">
        <v>54</v>
      </c>
      <c r="D1" s="830"/>
      <c r="E1" s="830"/>
      <c r="F1" s="830"/>
      <c r="G1" s="830"/>
      <c r="H1" s="830"/>
      <c r="I1" s="830"/>
      <c r="J1" s="830"/>
      <c r="K1" s="830"/>
      <c r="L1" s="830"/>
      <c r="M1" s="830"/>
      <c r="N1" s="830"/>
      <c r="O1" s="830"/>
      <c r="P1" s="830"/>
      <c r="Q1" s="830"/>
      <c r="R1" s="830"/>
      <c r="S1" s="830"/>
      <c r="T1" s="830"/>
      <c r="U1" s="830"/>
      <c r="V1" s="830"/>
      <c r="W1" s="830"/>
      <c r="X1" s="830"/>
      <c r="Y1" s="830"/>
      <c r="Z1" s="830"/>
      <c r="AA1" s="830"/>
      <c r="AB1" s="830"/>
      <c r="AC1" s="830"/>
      <c r="AD1" s="830"/>
      <c r="AE1" s="830"/>
      <c r="AF1" s="830"/>
      <c r="AG1" s="830"/>
      <c r="AH1" s="830"/>
      <c r="AI1" s="830"/>
      <c r="AJ1" s="830"/>
      <c r="AK1" s="830"/>
      <c r="AL1" s="830"/>
      <c r="AM1" s="830"/>
      <c r="AN1" s="830"/>
      <c r="AO1" s="830"/>
      <c r="AP1" s="830"/>
      <c r="AQ1" s="830"/>
      <c r="AR1" s="830"/>
      <c r="AS1" s="830"/>
      <c r="AT1" s="830"/>
      <c r="AU1" s="830"/>
      <c r="AV1" s="830"/>
      <c r="AW1" s="830"/>
      <c r="AX1" s="830"/>
      <c r="AY1" s="830"/>
      <c r="AZ1" s="830"/>
      <c r="BA1" s="830"/>
      <c r="BB1" s="831"/>
    </row>
    <row r="2" spans="1:56" ht="48" customHeight="1" x14ac:dyDescent="0.2">
      <c r="A2" s="1185"/>
      <c r="B2" s="1186"/>
      <c r="C2" s="829" t="s">
        <v>630</v>
      </c>
      <c r="D2" s="830"/>
      <c r="E2" s="830"/>
      <c r="F2" s="830"/>
      <c r="G2" s="830"/>
      <c r="H2" s="830"/>
      <c r="I2" s="830"/>
      <c r="J2" s="830"/>
      <c r="K2" s="830"/>
      <c r="L2" s="830"/>
      <c r="M2" s="830"/>
      <c r="N2" s="830"/>
      <c r="O2" s="830"/>
      <c r="P2" s="830"/>
      <c r="Q2" s="830"/>
      <c r="R2" s="830"/>
      <c r="S2" s="830"/>
      <c r="T2" s="830"/>
      <c r="U2" s="830"/>
      <c r="V2" s="830"/>
      <c r="W2" s="830"/>
      <c r="X2" s="830"/>
      <c r="Y2" s="830"/>
      <c r="Z2" s="830"/>
      <c r="AA2" s="830"/>
      <c r="AB2" s="830"/>
      <c r="AC2" s="830"/>
      <c r="AD2" s="830"/>
      <c r="AE2" s="830"/>
      <c r="AF2" s="830"/>
      <c r="AG2" s="830"/>
      <c r="AH2" s="830"/>
      <c r="AI2" s="830"/>
      <c r="AJ2" s="830"/>
      <c r="AK2" s="830"/>
      <c r="AL2" s="830"/>
      <c r="AM2" s="830"/>
      <c r="AN2" s="830"/>
      <c r="AO2" s="830"/>
      <c r="AP2" s="830"/>
      <c r="AQ2" s="830"/>
      <c r="AR2" s="830"/>
      <c r="AS2" s="830"/>
      <c r="AT2" s="830"/>
      <c r="AU2" s="830"/>
      <c r="AV2" s="830"/>
      <c r="AW2" s="830"/>
      <c r="AX2" s="830"/>
      <c r="AY2" s="830"/>
      <c r="AZ2" s="827"/>
      <c r="BA2" s="827"/>
      <c r="BB2" s="828"/>
    </row>
    <row r="3" spans="1:56" ht="24.75" customHeight="1" x14ac:dyDescent="0.2">
      <c r="A3" s="832" t="s">
        <v>55</v>
      </c>
      <c r="B3" s="835" t="s">
        <v>663</v>
      </c>
      <c r="C3" s="836"/>
      <c r="D3" s="836"/>
      <c r="E3" s="836"/>
      <c r="F3" s="836"/>
      <c r="G3" s="836"/>
      <c r="H3" s="836"/>
      <c r="I3" s="836"/>
      <c r="J3" s="836"/>
      <c r="K3" s="836"/>
      <c r="L3" s="836"/>
      <c r="M3" s="836"/>
      <c r="N3" s="836"/>
      <c r="O3" s="836"/>
      <c r="P3" s="836"/>
      <c r="Q3" s="836"/>
      <c r="R3" s="836"/>
      <c r="S3" s="836"/>
      <c r="T3" s="836"/>
      <c r="U3" s="836"/>
      <c r="V3" s="836"/>
      <c r="W3" s="836"/>
      <c r="X3" s="836"/>
      <c r="Y3" s="836"/>
      <c r="Z3" s="836"/>
      <c r="AA3" s="836"/>
      <c r="AB3" s="836"/>
      <c r="AC3" s="836"/>
      <c r="AD3" s="836"/>
      <c r="AE3" s="836"/>
      <c r="AF3" s="836"/>
      <c r="AG3" s="836"/>
      <c r="AH3" s="836"/>
      <c r="AI3" s="836"/>
      <c r="AJ3" s="836"/>
      <c r="AK3" s="836"/>
      <c r="AL3" s="836"/>
      <c r="AM3" s="836"/>
      <c r="AN3" s="836"/>
      <c r="AO3" s="836"/>
      <c r="AP3" s="836"/>
      <c r="AQ3" s="836"/>
      <c r="AR3" s="836"/>
      <c r="AS3" s="836"/>
      <c r="AT3" s="836"/>
      <c r="AU3" s="836"/>
      <c r="AV3" s="836"/>
      <c r="AW3" s="836"/>
      <c r="AX3" s="836"/>
      <c r="AY3" s="837"/>
      <c r="AZ3" s="1459" t="s">
        <v>703</v>
      </c>
      <c r="BA3" s="1460"/>
      <c r="BB3" s="1461"/>
    </row>
    <row r="4" spans="1:56" ht="24.75" customHeight="1" x14ac:dyDescent="0.2">
      <c r="A4" s="832" t="s">
        <v>56</v>
      </c>
      <c r="B4" s="835" t="s">
        <v>629</v>
      </c>
      <c r="C4" s="836"/>
      <c r="D4" s="836"/>
      <c r="E4" s="836"/>
      <c r="F4" s="836"/>
      <c r="G4" s="836"/>
      <c r="H4" s="836"/>
      <c r="I4" s="836"/>
      <c r="J4" s="836"/>
      <c r="K4" s="836"/>
      <c r="L4" s="836"/>
      <c r="M4" s="836"/>
      <c r="N4" s="836"/>
      <c r="O4" s="836"/>
      <c r="P4" s="836"/>
      <c r="Q4" s="836"/>
      <c r="R4" s="836"/>
      <c r="S4" s="836"/>
      <c r="T4" s="836"/>
      <c r="U4" s="836"/>
      <c r="V4" s="836"/>
      <c r="W4" s="836"/>
      <c r="X4" s="833"/>
      <c r="Y4" s="833"/>
      <c r="Z4" s="833"/>
      <c r="AA4" s="833"/>
      <c r="AB4" s="833"/>
      <c r="AC4" s="833"/>
      <c r="AD4" s="833"/>
      <c r="AE4" s="833"/>
      <c r="AF4" s="833"/>
      <c r="AG4" s="833"/>
      <c r="AH4" s="833"/>
      <c r="AI4" s="833"/>
      <c r="AJ4" s="833"/>
      <c r="AK4" s="833"/>
      <c r="AL4" s="833"/>
      <c r="AM4" s="833"/>
      <c r="AN4" s="833"/>
      <c r="AO4" s="833"/>
      <c r="AP4" s="833"/>
      <c r="AQ4" s="833"/>
      <c r="AR4" s="833"/>
      <c r="AS4" s="833"/>
      <c r="AT4" s="833"/>
      <c r="AU4" s="833"/>
      <c r="AV4" s="833"/>
      <c r="AW4" s="833"/>
      <c r="AX4" s="833"/>
      <c r="AY4" s="834"/>
      <c r="AZ4" s="1462"/>
      <c r="BA4" s="991"/>
      <c r="BB4" s="992"/>
    </row>
    <row r="5" spans="1:56" ht="24.75" customHeight="1" x14ac:dyDescent="0.2">
      <c r="A5" s="832" t="s">
        <v>57</v>
      </c>
      <c r="B5" s="835" t="s">
        <v>630</v>
      </c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  <c r="V5" s="836"/>
      <c r="W5" s="836"/>
      <c r="X5" s="836"/>
      <c r="Y5" s="945"/>
      <c r="Z5" s="945"/>
      <c r="AA5" s="945"/>
      <c r="AB5" s="945"/>
      <c r="AC5" s="945"/>
      <c r="AD5" s="945"/>
      <c r="AE5" s="945"/>
      <c r="AF5" s="945"/>
      <c r="AG5" s="945"/>
      <c r="AH5" s="945"/>
      <c r="AI5" s="945"/>
      <c r="AJ5" s="945"/>
      <c r="AK5" s="945"/>
      <c r="AL5" s="945"/>
      <c r="AM5" s="945"/>
      <c r="AN5" s="945"/>
      <c r="AO5" s="945"/>
      <c r="AP5" s="945"/>
      <c r="AQ5" s="945"/>
      <c r="AR5" s="945"/>
      <c r="AS5" s="945"/>
      <c r="AT5" s="945"/>
      <c r="AU5" s="945"/>
      <c r="AV5" s="945"/>
      <c r="AW5" s="838" t="s">
        <v>374</v>
      </c>
      <c r="AX5" s="1064" t="s">
        <v>701</v>
      </c>
      <c r="AY5" s="1066"/>
      <c r="AZ5" s="991"/>
      <c r="BA5" s="991"/>
      <c r="BB5" s="992"/>
    </row>
    <row r="6" spans="1:56" ht="24.75" customHeight="1" thickBot="1" x14ac:dyDescent="0.25">
      <c r="A6" s="890" t="s">
        <v>58</v>
      </c>
      <c r="B6" s="891">
        <v>37813.870000000003</v>
      </c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892"/>
      <c r="N6" s="892"/>
      <c r="O6" s="892"/>
      <c r="P6" s="892"/>
      <c r="Q6" s="892"/>
      <c r="R6" s="892"/>
      <c r="S6" s="892"/>
      <c r="T6" s="892"/>
      <c r="U6" s="892"/>
      <c r="V6" s="892"/>
      <c r="W6" s="892"/>
      <c r="X6" s="892"/>
      <c r="Y6" s="892"/>
      <c r="Z6" s="892"/>
      <c r="AA6" s="892"/>
      <c r="AB6" s="892"/>
      <c r="AC6" s="892"/>
      <c r="AD6" s="892"/>
      <c r="AE6" s="892"/>
      <c r="AF6" s="892"/>
      <c r="AG6" s="892"/>
      <c r="AH6" s="892"/>
      <c r="AI6" s="892"/>
      <c r="AJ6" s="892"/>
      <c r="AK6" s="892"/>
      <c r="AL6" s="892"/>
      <c r="AM6" s="892"/>
      <c r="AN6" s="892"/>
      <c r="AO6" s="892"/>
      <c r="AP6" s="892"/>
      <c r="AQ6" s="892"/>
      <c r="AR6" s="892"/>
      <c r="AS6" s="892"/>
      <c r="AT6" s="892"/>
      <c r="AU6" s="892"/>
      <c r="AV6" s="892"/>
      <c r="AW6" s="893" t="s">
        <v>59</v>
      </c>
      <c r="AX6" s="894">
        <v>0.20699999999999999</v>
      </c>
      <c r="AY6" s="895" t="s">
        <v>60</v>
      </c>
      <c r="AZ6" s="1463"/>
      <c r="BA6" s="1463"/>
      <c r="BB6" s="1227"/>
    </row>
    <row r="7" spans="1:56" ht="33" customHeight="1" thickBot="1" x14ac:dyDescent="0.25">
      <c r="A7" s="1476" t="s">
        <v>9</v>
      </c>
      <c r="B7" s="1477"/>
      <c r="C7" s="1477"/>
      <c r="D7" s="1477"/>
      <c r="E7" s="896"/>
      <c r="F7" s="896"/>
      <c r="G7" s="896"/>
      <c r="H7" s="896"/>
      <c r="I7" s="896"/>
      <c r="J7" s="896"/>
      <c r="K7" s="896"/>
      <c r="L7" s="896"/>
      <c r="M7" s="896"/>
      <c r="N7" s="896"/>
      <c r="O7" s="896"/>
      <c r="P7" s="896"/>
      <c r="Q7" s="896"/>
      <c r="R7" s="896"/>
      <c r="S7" s="896"/>
      <c r="T7" s="896"/>
      <c r="U7" s="896"/>
      <c r="V7" s="896"/>
      <c r="W7" s="896"/>
      <c r="X7" s="896"/>
      <c r="Y7" s="896"/>
      <c r="Z7" s="896"/>
      <c r="AA7" s="896"/>
      <c r="AB7" s="896"/>
      <c r="AC7" s="896"/>
      <c r="AD7" s="896"/>
      <c r="AE7" s="896"/>
      <c r="AF7" s="896"/>
      <c r="AG7" s="896"/>
      <c r="AH7" s="896"/>
      <c r="AI7" s="896"/>
      <c r="AJ7" s="896"/>
      <c r="AK7" s="896"/>
      <c r="AL7" s="896"/>
      <c r="AM7" s="896"/>
      <c r="AN7" s="896"/>
      <c r="AO7" s="896"/>
      <c r="AP7" s="896"/>
      <c r="AQ7" s="896"/>
      <c r="AR7" s="896"/>
      <c r="AS7" s="896"/>
      <c r="AT7" s="896"/>
      <c r="AU7" s="896"/>
      <c r="AV7" s="896"/>
      <c r="AW7" s="896"/>
      <c r="AX7" s="896"/>
      <c r="AY7" s="896"/>
      <c r="AZ7" s="896"/>
      <c r="BA7" s="896"/>
      <c r="BB7" s="897"/>
    </row>
    <row r="8" spans="1:56" x14ac:dyDescent="0.2">
      <c r="A8" s="1468" t="s">
        <v>0</v>
      </c>
      <c r="B8" s="1471" t="s">
        <v>10</v>
      </c>
      <c r="C8" s="1471" t="s">
        <v>11</v>
      </c>
      <c r="D8" s="1471"/>
      <c r="E8" s="1478" t="s">
        <v>700</v>
      </c>
      <c r="F8" s="1478"/>
      <c r="G8" s="1478"/>
      <c r="H8" s="1478"/>
      <c r="I8" s="1478"/>
      <c r="J8" s="1478"/>
      <c r="K8" s="1478"/>
      <c r="L8" s="1478"/>
      <c r="M8" s="1478"/>
      <c r="N8" s="1478"/>
      <c r="O8" s="1478"/>
      <c r="P8" s="1478"/>
      <c r="Q8" s="1478"/>
      <c r="R8" s="1478"/>
      <c r="S8" s="1478"/>
      <c r="T8" s="1478"/>
      <c r="U8" s="1478"/>
      <c r="V8" s="1478"/>
      <c r="W8" s="1478"/>
      <c r="X8" s="1478"/>
      <c r="Y8" s="1478"/>
      <c r="Z8" s="1478"/>
      <c r="AA8" s="1478"/>
      <c r="AB8" s="1478"/>
      <c r="AC8" s="1478"/>
      <c r="AD8" s="1478"/>
      <c r="AE8" s="1478"/>
      <c r="AF8" s="1478"/>
      <c r="AG8" s="1478"/>
      <c r="AH8" s="1478"/>
      <c r="AI8" s="1478"/>
      <c r="AJ8" s="1478"/>
      <c r="AK8" s="1478"/>
      <c r="AL8" s="1478"/>
      <c r="AM8" s="1478"/>
      <c r="AN8" s="1478"/>
      <c r="AO8" s="1478"/>
      <c r="AP8" s="1478"/>
      <c r="AQ8" s="1478"/>
      <c r="AR8" s="1478"/>
      <c r="AS8" s="1478"/>
      <c r="AT8" s="1478"/>
      <c r="AU8" s="1478"/>
      <c r="AV8" s="1478"/>
      <c r="AW8" s="1478"/>
      <c r="AX8" s="1478"/>
      <c r="AY8" s="1478"/>
      <c r="AZ8" s="1478"/>
      <c r="BA8" s="1478"/>
      <c r="BB8" s="1479"/>
    </row>
    <row r="9" spans="1:56" x14ac:dyDescent="0.2">
      <c r="A9" s="1469"/>
      <c r="B9" s="1472"/>
      <c r="C9" s="1472"/>
      <c r="D9" s="1472"/>
      <c r="E9" s="1474" t="s">
        <v>708</v>
      </c>
      <c r="F9" s="1474"/>
      <c r="G9" s="1474">
        <v>60</v>
      </c>
      <c r="H9" s="1475"/>
      <c r="I9" s="1474">
        <v>90</v>
      </c>
      <c r="J9" s="1475"/>
      <c r="K9" s="1474">
        <v>120</v>
      </c>
      <c r="L9" s="1475"/>
      <c r="M9" s="1474">
        <v>150</v>
      </c>
      <c r="N9" s="1475"/>
      <c r="O9" s="1474">
        <v>180</v>
      </c>
      <c r="P9" s="1475"/>
      <c r="Q9" s="1474">
        <v>210</v>
      </c>
      <c r="R9" s="1475"/>
      <c r="S9" s="1474">
        <v>240</v>
      </c>
      <c r="T9" s="1475"/>
      <c r="U9" s="1474">
        <v>270</v>
      </c>
      <c r="V9" s="1475"/>
      <c r="W9" s="1474">
        <v>300</v>
      </c>
      <c r="X9" s="1475"/>
      <c r="Y9" s="1474">
        <v>330</v>
      </c>
      <c r="Z9" s="1475"/>
      <c r="AA9" s="1474">
        <v>360</v>
      </c>
      <c r="AB9" s="1475"/>
      <c r="AC9" s="1474">
        <v>390</v>
      </c>
      <c r="AD9" s="1475"/>
      <c r="AE9" s="1474">
        <v>420</v>
      </c>
      <c r="AF9" s="1475"/>
      <c r="AG9" s="1474">
        <v>450</v>
      </c>
      <c r="AH9" s="1475"/>
      <c r="AI9" s="1474">
        <v>480</v>
      </c>
      <c r="AJ9" s="1475"/>
      <c r="AK9" s="1474">
        <v>510</v>
      </c>
      <c r="AL9" s="1475"/>
      <c r="AM9" s="1474">
        <v>540</v>
      </c>
      <c r="AN9" s="1475"/>
      <c r="AO9" s="1474">
        <v>570</v>
      </c>
      <c r="AP9" s="1475"/>
      <c r="AQ9" s="1474">
        <v>600</v>
      </c>
      <c r="AR9" s="1475"/>
      <c r="AS9" s="1474">
        <v>630</v>
      </c>
      <c r="AT9" s="1475"/>
      <c r="AU9" s="1474">
        <v>660</v>
      </c>
      <c r="AV9" s="1475"/>
      <c r="AW9" s="1474">
        <v>690</v>
      </c>
      <c r="AX9" s="1475"/>
      <c r="AY9" s="1474">
        <v>720</v>
      </c>
      <c r="AZ9" s="1475"/>
      <c r="BA9" s="1474" t="s">
        <v>13</v>
      </c>
      <c r="BB9" s="1480"/>
    </row>
    <row r="10" spans="1:56" x14ac:dyDescent="0.2">
      <c r="A10" s="1470"/>
      <c r="B10" s="1473"/>
      <c r="C10" s="632" t="s">
        <v>14</v>
      </c>
      <c r="D10" s="633" t="s">
        <v>15</v>
      </c>
      <c r="E10" s="632" t="s">
        <v>14</v>
      </c>
      <c r="F10" s="633" t="s">
        <v>15</v>
      </c>
      <c r="G10" s="634" t="s">
        <v>16</v>
      </c>
      <c r="H10" s="635" t="s">
        <v>15</v>
      </c>
      <c r="I10" s="634" t="s">
        <v>16</v>
      </c>
      <c r="J10" s="635" t="s">
        <v>15</v>
      </c>
      <c r="K10" s="634" t="s">
        <v>16</v>
      </c>
      <c r="L10" s="635" t="s">
        <v>15</v>
      </c>
      <c r="M10" s="634" t="s">
        <v>16</v>
      </c>
      <c r="N10" s="635" t="s">
        <v>15</v>
      </c>
      <c r="O10" s="634" t="s">
        <v>16</v>
      </c>
      <c r="P10" s="635" t="s">
        <v>15</v>
      </c>
      <c r="Q10" s="634" t="s">
        <v>16</v>
      </c>
      <c r="R10" s="635" t="s">
        <v>15</v>
      </c>
      <c r="S10" s="634" t="s">
        <v>16</v>
      </c>
      <c r="T10" s="635" t="s">
        <v>15</v>
      </c>
      <c r="U10" s="634" t="s">
        <v>16</v>
      </c>
      <c r="V10" s="635" t="s">
        <v>15</v>
      </c>
      <c r="W10" s="634" t="s">
        <v>16</v>
      </c>
      <c r="X10" s="635" t="s">
        <v>15</v>
      </c>
      <c r="Y10" s="634" t="s">
        <v>16</v>
      </c>
      <c r="Z10" s="635" t="s">
        <v>15</v>
      </c>
      <c r="AA10" s="634" t="s">
        <v>16</v>
      </c>
      <c r="AB10" s="635" t="s">
        <v>15</v>
      </c>
      <c r="AC10" s="634" t="s">
        <v>16</v>
      </c>
      <c r="AD10" s="635" t="s">
        <v>15</v>
      </c>
      <c r="AE10" s="634" t="s">
        <v>16</v>
      </c>
      <c r="AF10" s="635" t="s">
        <v>15</v>
      </c>
      <c r="AG10" s="634" t="s">
        <v>16</v>
      </c>
      <c r="AH10" s="635" t="s">
        <v>15</v>
      </c>
      <c r="AI10" s="634" t="s">
        <v>16</v>
      </c>
      <c r="AJ10" s="635" t="s">
        <v>15</v>
      </c>
      <c r="AK10" s="634" t="s">
        <v>16</v>
      </c>
      <c r="AL10" s="635" t="s">
        <v>15</v>
      </c>
      <c r="AM10" s="634" t="s">
        <v>16</v>
      </c>
      <c r="AN10" s="635" t="s">
        <v>15</v>
      </c>
      <c r="AO10" s="634" t="s">
        <v>16</v>
      </c>
      <c r="AP10" s="635" t="s">
        <v>15</v>
      </c>
      <c r="AQ10" s="634" t="s">
        <v>16</v>
      </c>
      <c r="AR10" s="635" t="s">
        <v>15</v>
      </c>
      <c r="AS10" s="634" t="s">
        <v>16</v>
      </c>
      <c r="AT10" s="635" t="s">
        <v>15</v>
      </c>
      <c r="AU10" s="634" t="s">
        <v>16</v>
      </c>
      <c r="AV10" s="635" t="s">
        <v>15</v>
      </c>
      <c r="AW10" s="634" t="s">
        <v>16</v>
      </c>
      <c r="AX10" s="635" t="s">
        <v>15</v>
      </c>
      <c r="AY10" s="634" t="s">
        <v>16</v>
      </c>
      <c r="AZ10" s="635" t="s">
        <v>15</v>
      </c>
      <c r="BA10" s="634" t="s">
        <v>16</v>
      </c>
      <c r="BB10" s="636" t="s">
        <v>15</v>
      </c>
    </row>
    <row r="11" spans="1:56" s="356" customFormat="1" x14ac:dyDescent="0.2">
      <c r="A11" s="622"/>
      <c r="B11" s="637"/>
      <c r="C11" s="638"/>
      <c r="D11" s="639"/>
      <c r="E11" s="640"/>
      <c r="F11" s="641"/>
      <c r="G11" s="640"/>
      <c r="H11" s="642"/>
      <c r="I11" s="640"/>
      <c r="J11" s="641"/>
      <c r="K11" s="640"/>
      <c r="L11" s="641"/>
      <c r="M11" s="640"/>
      <c r="N11" s="641"/>
      <c r="O11" s="640"/>
      <c r="P11" s="641"/>
      <c r="Q11" s="640"/>
      <c r="R11" s="641"/>
      <c r="S11" s="640"/>
      <c r="T11" s="641"/>
      <c r="U11" s="640"/>
      <c r="V11" s="641"/>
      <c r="W11" s="640"/>
      <c r="X11" s="641"/>
      <c r="Y11" s="640"/>
      <c r="Z11" s="641"/>
      <c r="AA11" s="640"/>
      <c r="AB11" s="641"/>
      <c r="AC11" s="640"/>
      <c r="AD11" s="641"/>
      <c r="AE11" s="640"/>
      <c r="AF11" s="641"/>
      <c r="AG11" s="640"/>
      <c r="AH11" s="641"/>
      <c r="AI11" s="640"/>
      <c r="AJ11" s="641"/>
      <c r="AK11" s="640"/>
      <c r="AL11" s="641"/>
      <c r="AM11" s="640"/>
      <c r="AN11" s="641"/>
      <c r="AO11" s="640"/>
      <c r="AP11" s="641"/>
      <c r="AQ11" s="640"/>
      <c r="AR11" s="641"/>
      <c r="AS11" s="640"/>
      <c r="AT11" s="641"/>
      <c r="AU11" s="640"/>
      <c r="AV11" s="641"/>
      <c r="AW11" s="640"/>
      <c r="AX11" s="641"/>
      <c r="AY11" s="640"/>
      <c r="AZ11" s="641"/>
      <c r="BA11" s="640"/>
      <c r="BB11" s="643"/>
      <c r="BD11" s="353"/>
    </row>
    <row r="12" spans="1:56" s="315" customFormat="1" ht="23.25" customHeight="1" x14ac:dyDescent="0.2">
      <c r="A12" s="622">
        <v>1</v>
      </c>
      <c r="B12" s="637" t="s">
        <v>30</v>
      </c>
      <c r="C12" s="638">
        <v>32567.75</v>
      </c>
      <c r="D12" s="639">
        <v>6.7000000000000002E-3</v>
      </c>
      <c r="E12" s="638">
        <v>32567.75</v>
      </c>
      <c r="F12" s="653">
        <v>100</v>
      </c>
      <c r="G12" s="638">
        <v>0</v>
      </c>
      <c r="H12" s="826"/>
      <c r="I12" s="638"/>
      <c r="J12" s="653"/>
      <c r="K12" s="638"/>
      <c r="L12" s="653"/>
      <c r="M12" s="638"/>
      <c r="N12" s="653"/>
      <c r="O12" s="638"/>
      <c r="P12" s="653"/>
      <c r="Q12" s="638"/>
      <c r="R12" s="653"/>
      <c r="S12" s="638"/>
      <c r="T12" s="653"/>
      <c r="U12" s="638"/>
      <c r="V12" s="653"/>
      <c r="W12" s="638"/>
      <c r="X12" s="653"/>
      <c r="Y12" s="638"/>
      <c r="Z12" s="653"/>
      <c r="AA12" s="638"/>
      <c r="AB12" s="653"/>
      <c r="AC12" s="638"/>
      <c r="AD12" s="653"/>
      <c r="AE12" s="638"/>
      <c r="AF12" s="653"/>
      <c r="AG12" s="638"/>
      <c r="AH12" s="653"/>
      <c r="AI12" s="638"/>
      <c r="AJ12" s="653"/>
      <c r="AK12" s="638"/>
      <c r="AL12" s="653"/>
      <c r="AM12" s="638"/>
      <c r="AN12" s="653"/>
      <c r="AO12" s="638"/>
      <c r="AP12" s="653"/>
      <c r="AQ12" s="638"/>
      <c r="AR12" s="653"/>
      <c r="AS12" s="638"/>
      <c r="AT12" s="653"/>
      <c r="AU12" s="638"/>
      <c r="AV12" s="653"/>
      <c r="AW12" s="638"/>
      <c r="AX12" s="653"/>
      <c r="AY12" s="638"/>
      <c r="AZ12" s="653"/>
      <c r="BA12" s="644">
        <v>32567.75</v>
      </c>
      <c r="BB12" s="949">
        <v>100</v>
      </c>
    </row>
    <row r="13" spans="1:56" s="354" customFormat="1" ht="23.25" customHeight="1" x14ac:dyDescent="0.2">
      <c r="A13" s="622"/>
      <c r="B13" s="637"/>
      <c r="C13" s="638"/>
      <c r="D13" s="639"/>
      <c r="E13" s="644"/>
      <c r="F13" s="645"/>
      <c r="G13" s="647"/>
      <c r="H13" s="648"/>
      <c r="I13" s="647"/>
      <c r="J13" s="645"/>
      <c r="K13" s="647"/>
      <c r="L13" s="645"/>
      <c r="M13" s="647"/>
      <c r="N13" s="645"/>
      <c r="O13" s="647"/>
      <c r="P13" s="645"/>
      <c r="Q13" s="647"/>
      <c r="R13" s="645"/>
      <c r="S13" s="647"/>
      <c r="T13" s="645"/>
      <c r="U13" s="644"/>
      <c r="V13" s="645"/>
      <c r="W13" s="644"/>
      <c r="X13" s="645"/>
      <c r="Y13" s="644"/>
      <c r="Z13" s="645"/>
      <c r="AA13" s="644"/>
      <c r="AB13" s="645"/>
      <c r="AC13" s="644"/>
      <c r="AD13" s="645"/>
      <c r="AE13" s="644"/>
      <c r="AF13" s="645"/>
      <c r="AG13" s="644"/>
      <c r="AH13" s="645"/>
      <c r="AI13" s="644"/>
      <c r="AJ13" s="645"/>
      <c r="AK13" s="644"/>
      <c r="AL13" s="645"/>
      <c r="AM13" s="644"/>
      <c r="AN13" s="645"/>
      <c r="AO13" s="644"/>
      <c r="AP13" s="645"/>
      <c r="AQ13" s="644"/>
      <c r="AR13" s="645"/>
      <c r="AS13" s="644"/>
      <c r="AT13" s="645"/>
      <c r="AU13" s="644"/>
      <c r="AV13" s="645"/>
      <c r="AW13" s="644"/>
      <c r="AX13" s="645"/>
      <c r="AY13" s="644"/>
      <c r="AZ13" s="645"/>
      <c r="BA13" s="644"/>
      <c r="BB13" s="949"/>
      <c r="BD13" s="353"/>
    </row>
    <row r="14" spans="1:56" s="356" customFormat="1" ht="23.25" customHeight="1" x14ac:dyDescent="0.2">
      <c r="A14" s="622">
        <v>2</v>
      </c>
      <c r="B14" s="637" t="s">
        <v>553</v>
      </c>
      <c r="C14" s="638">
        <v>230672.18</v>
      </c>
      <c r="D14" s="639">
        <v>4.7300000000000002E-2</v>
      </c>
      <c r="E14" s="644">
        <v>9000</v>
      </c>
      <c r="F14" s="645">
        <v>3.9</v>
      </c>
      <c r="G14" s="644">
        <v>9000</v>
      </c>
      <c r="H14" s="645">
        <v>3.9</v>
      </c>
      <c r="I14" s="644">
        <v>9000</v>
      </c>
      <c r="J14" s="645">
        <v>3.9</v>
      </c>
      <c r="K14" s="644">
        <v>9000</v>
      </c>
      <c r="L14" s="645">
        <v>3.9</v>
      </c>
      <c r="M14" s="644">
        <v>9000</v>
      </c>
      <c r="N14" s="645">
        <v>3.9</v>
      </c>
      <c r="O14" s="644">
        <v>10000</v>
      </c>
      <c r="P14" s="645">
        <v>4.33</v>
      </c>
      <c r="Q14" s="644">
        <v>10000</v>
      </c>
      <c r="R14" s="645">
        <v>4.33</v>
      </c>
      <c r="S14" s="644">
        <v>10000</v>
      </c>
      <c r="T14" s="645">
        <v>4.33</v>
      </c>
      <c r="U14" s="644">
        <v>10000</v>
      </c>
      <c r="V14" s="645">
        <v>4.33</v>
      </c>
      <c r="W14" s="644">
        <v>10000</v>
      </c>
      <c r="X14" s="645">
        <v>4.33</v>
      </c>
      <c r="Y14" s="644">
        <v>10000</v>
      </c>
      <c r="Z14" s="645">
        <v>4.33</v>
      </c>
      <c r="AA14" s="644">
        <v>10000</v>
      </c>
      <c r="AB14" s="645">
        <v>4.33</v>
      </c>
      <c r="AC14" s="644">
        <v>10000</v>
      </c>
      <c r="AD14" s="645">
        <v>4.33</v>
      </c>
      <c r="AE14" s="644">
        <v>10000</v>
      </c>
      <c r="AF14" s="645">
        <v>4.33</v>
      </c>
      <c r="AG14" s="644">
        <v>10000</v>
      </c>
      <c r="AH14" s="645">
        <v>4.33</v>
      </c>
      <c r="AI14" s="644">
        <v>10000</v>
      </c>
      <c r="AJ14" s="645">
        <v>4.33</v>
      </c>
      <c r="AK14" s="644">
        <v>10000</v>
      </c>
      <c r="AL14" s="645">
        <v>4.33</v>
      </c>
      <c r="AM14" s="644">
        <v>12010.26</v>
      </c>
      <c r="AN14" s="645">
        <v>4.33</v>
      </c>
      <c r="AO14" s="644">
        <v>10000</v>
      </c>
      <c r="AP14" s="645">
        <v>4.33</v>
      </c>
      <c r="AQ14" s="644">
        <v>10000</v>
      </c>
      <c r="AR14" s="645">
        <v>4.33</v>
      </c>
      <c r="AS14" s="644">
        <v>10000</v>
      </c>
      <c r="AT14" s="645">
        <v>4.33</v>
      </c>
      <c r="AU14" s="644">
        <v>10000</v>
      </c>
      <c r="AV14" s="645">
        <v>4.33</v>
      </c>
      <c r="AW14" s="644">
        <v>10000</v>
      </c>
      <c r="AX14" s="645">
        <v>4.33</v>
      </c>
      <c r="AY14" s="644">
        <v>3661.92</v>
      </c>
      <c r="AZ14" s="645">
        <v>2.56</v>
      </c>
      <c r="BA14" s="644">
        <v>230672.18</v>
      </c>
      <c r="BB14" s="949">
        <v>100</v>
      </c>
      <c r="BD14" s="353"/>
    </row>
    <row r="15" spans="1:56" s="356" customFormat="1" ht="23.25" customHeight="1" x14ac:dyDescent="0.2">
      <c r="A15" s="626"/>
      <c r="B15" s="649"/>
      <c r="C15" s="638"/>
      <c r="D15" s="639"/>
      <c r="E15" s="644"/>
      <c r="F15" s="645"/>
      <c r="G15" s="644"/>
      <c r="H15" s="645"/>
      <c r="I15" s="644"/>
      <c r="J15" s="645"/>
      <c r="K15" s="644"/>
      <c r="L15" s="645"/>
      <c r="M15" s="644"/>
      <c r="N15" s="645"/>
      <c r="O15" s="644"/>
      <c r="P15" s="645"/>
      <c r="Q15" s="644"/>
      <c r="R15" s="645"/>
      <c r="S15" s="644"/>
      <c r="T15" s="645"/>
      <c r="U15" s="644"/>
      <c r="V15" s="645"/>
      <c r="W15" s="644"/>
      <c r="X15" s="645"/>
      <c r="Y15" s="644"/>
      <c r="Z15" s="645"/>
      <c r="AA15" s="644"/>
      <c r="AB15" s="645"/>
      <c r="AC15" s="644"/>
      <c r="AD15" s="645"/>
      <c r="AE15" s="644"/>
      <c r="AF15" s="645"/>
      <c r="AG15" s="644"/>
      <c r="AH15" s="645"/>
      <c r="AI15" s="644"/>
      <c r="AJ15" s="645"/>
      <c r="AK15" s="644"/>
      <c r="AL15" s="645"/>
      <c r="AM15" s="644"/>
      <c r="AN15" s="645"/>
      <c r="AO15" s="644"/>
      <c r="AP15" s="645"/>
      <c r="AQ15" s="644"/>
      <c r="AR15" s="645"/>
      <c r="AS15" s="644"/>
      <c r="AT15" s="645"/>
      <c r="AU15" s="644"/>
      <c r="AV15" s="645"/>
      <c r="AW15" s="644"/>
      <c r="AX15" s="645"/>
      <c r="AY15" s="644"/>
      <c r="AZ15" s="645"/>
      <c r="BA15" s="644"/>
      <c r="BB15" s="949"/>
      <c r="BD15" s="353"/>
    </row>
    <row r="16" spans="1:56" s="315" customFormat="1" ht="23.25" customHeight="1" x14ac:dyDescent="0.2">
      <c r="A16" s="622">
        <v>3</v>
      </c>
      <c r="B16" s="650" t="s">
        <v>49</v>
      </c>
      <c r="C16" s="638"/>
      <c r="D16" s="639"/>
      <c r="E16" s="640"/>
      <c r="F16" s="641"/>
      <c r="G16" s="640"/>
      <c r="H16" s="641"/>
      <c r="I16" s="640"/>
      <c r="J16" s="641"/>
      <c r="K16" s="640"/>
      <c r="L16" s="641"/>
      <c r="M16" s="640"/>
      <c r="N16" s="641"/>
      <c r="O16" s="640"/>
      <c r="P16" s="641"/>
      <c r="Q16" s="640"/>
      <c r="R16" s="641"/>
      <c r="S16" s="640"/>
      <c r="T16" s="641"/>
      <c r="U16" s="640"/>
      <c r="V16" s="641"/>
      <c r="W16" s="640"/>
      <c r="X16" s="641"/>
      <c r="Y16" s="640"/>
      <c r="Z16" s="641"/>
      <c r="AA16" s="640"/>
      <c r="AB16" s="641"/>
      <c r="AC16" s="640"/>
      <c r="AD16" s="641"/>
      <c r="AE16" s="640"/>
      <c r="AF16" s="641"/>
      <c r="AG16" s="640"/>
      <c r="AH16" s="641"/>
      <c r="AI16" s="640"/>
      <c r="AJ16" s="641"/>
      <c r="AK16" s="640"/>
      <c r="AL16" s="641"/>
      <c r="AM16" s="640"/>
      <c r="AN16" s="641"/>
      <c r="AO16" s="640"/>
      <c r="AP16" s="641"/>
      <c r="AQ16" s="640"/>
      <c r="AR16" s="641"/>
      <c r="AS16" s="640"/>
      <c r="AT16" s="641"/>
      <c r="AU16" s="640"/>
      <c r="AV16" s="641"/>
      <c r="AW16" s="640"/>
      <c r="AX16" s="641"/>
      <c r="AY16" s="640"/>
      <c r="AZ16" s="641"/>
      <c r="BA16" s="640"/>
      <c r="BB16" s="949"/>
      <c r="BD16" s="353"/>
    </row>
    <row r="17" spans="1:56" s="398" customFormat="1" ht="23.25" customHeight="1" x14ac:dyDescent="0.2">
      <c r="A17" s="651" t="s">
        <v>25</v>
      </c>
      <c r="B17" s="652" t="s">
        <v>30</v>
      </c>
      <c r="C17" s="638">
        <v>3299.43</v>
      </c>
      <c r="D17" s="639">
        <v>6.9999999999999999E-4</v>
      </c>
      <c r="E17" s="644">
        <v>548.70000000000005</v>
      </c>
      <c r="F17" s="645">
        <v>16.63</v>
      </c>
      <c r="G17" s="644">
        <v>548.70000000000005</v>
      </c>
      <c r="H17" s="645">
        <v>16.63</v>
      </c>
      <c r="I17" s="644">
        <v>548.70000000000005</v>
      </c>
      <c r="J17" s="645">
        <v>16.63</v>
      </c>
      <c r="K17" s="644">
        <v>548.70000000000005</v>
      </c>
      <c r="L17" s="645">
        <v>16.63</v>
      </c>
      <c r="M17" s="644">
        <v>548.70000000000005</v>
      </c>
      <c r="N17" s="645">
        <v>16.63</v>
      </c>
      <c r="O17" s="644">
        <v>555.92999999999995</v>
      </c>
      <c r="P17" s="645">
        <v>16.850000000000001</v>
      </c>
      <c r="Q17" s="644"/>
      <c r="R17" s="645"/>
      <c r="S17" s="644"/>
      <c r="T17" s="645"/>
      <c r="U17" s="644"/>
      <c r="V17" s="645"/>
      <c r="W17" s="644"/>
      <c r="X17" s="645"/>
      <c r="Y17" s="644"/>
      <c r="Z17" s="645"/>
      <c r="AA17" s="644"/>
      <c r="AB17" s="645"/>
      <c r="AC17" s="644"/>
      <c r="AD17" s="645"/>
      <c r="AE17" s="644"/>
      <c r="AF17" s="645"/>
      <c r="AG17" s="644"/>
      <c r="AH17" s="645"/>
      <c r="AI17" s="644"/>
      <c r="AJ17" s="645"/>
      <c r="AK17" s="644"/>
      <c r="AL17" s="645"/>
      <c r="AM17" s="644"/>
      <c r="AN17" s="645"/>
      <c r="AO17" s="644"/>
      <c r="AP17" s="645"/>
      <c r="AQ17" s="644">
        <v>0</v>
      </c>
      <c r="AR17" s="645"/>
      <c r="AS17" s="644">
        <v>0</v>
      </c>
      <c r="AT17" s="645"/>
      <c r="AU17" s="644">
        <v>0</v>
      </c>
      <c r="AV17" s="645"/>
      <c r="AW17" s="644">
        <v>0</v>
      </c>
      <c r="AX17" s="645"/>
      <c r="AY17" s="644">
        <v>0</v>
      </c>
      <c r="AZ17" s="645"/>
      <c r="BA17" s="644">
        <v>3299.43</v>
      </c>
      <c r="BB17" s="949">
        <v>100</v>
      </c>
      <c r="BD17" s="432"/>
    </row>
    <row r="18" spans="1:56" s="398" customFormat="1" ht="23.25" customHeight="1" x14ac:dyDescent="0.2">
      <c r="A18" s="651" t="s">
        <v>26</v>
      </c>
      <c r="B18" s="652" t="s">
        <v>132</v>
      </c>
      <c r="C18" s="638">
        <v>238172.96</v>
      </c>
      <c r="D18" s="639">
        <v>4.8899999999999999E-2</v>
      </c>
      <c r="E18" s="644">
        <v>39608.160000000003</v>
      </c>
      <c r="F18" s="645">
        <v>16.63</v>
      </c>
      <c r="G18" s="644">
        <v>39608.160000000003</v>
      </c>
      <c r="H18" s="645">
        <v>16.63</v>
      </c>
      <c r="I18" s="644">
        <v>39608.160000000003</v>
      </c>
      <c r="J18" s="645">
        <v>16.63</v>
      </c>
      <c r="K18" s="644">
        <v>39608.160000000003</v>
      </c>
      <c r="L18" s="645">
        <v>16.63</v>
      </c>
      <c r="M18" s="644">
        <v>39608.160000000003</v>
      </c>
      <c r="N18" s="645">
        <v>16.63</v>
      </c>
      <c r="O18" s="644">
        <v>40132.160000000003</v>
      </c>
      <c r="P18" s="645">
        <v>16.850000000000001</v>
      </c>
      <c r="Q18" s="644"/>
      <c r="R18" s="645"/>
      <c r="S18" s="644"/>
      <c r="T18" s="645"/>
      <c r="U18" s="644"/>
      <c r="V18" s="645"/>
      <c r="W18" s="644"/>
      <c r="X18" s="645"/>
      <c r="Y18" s="644"/>
      <c r="Z18" s="645"/>
      <c r="AA18" s="644"/>
      <c r="AB18" s="645"/>
      <c r="AC18" s="644"/>
      <c r="AD18" s="645"/>
      <c r="AE18" s="644"/>
      <c r="AF18" s="645"/>
      <c r="AG18" s="644"/>
      <c r="AH18" s="645"/>
      <c r="AI18" s="644"/>
      <c r="AJ18" s="645"/>
      <c r="AK18" s="644"/>
      <c r="AL18" s="645"/>
      <c r="AM18" s="644"/>
      <c r="AN18" s="645"/>
      <c r="AO18" s="644"/>
      <c r="AP18" s="645"/>
      <c r="AQ18" s="644">
        <v>0</v>
      </c>
      <c r="AR18" s="645"/>
      <c r="AS18" s="644">
        <v>0</v>
      </c>
      <c r="AT18" s="645"/>
      <c r="AU18" s="644">
        <v>0</v>
      </c>
      <c r="AV18" s="645"/>
      <c r="AW18" s="644">
        <v>0</v>
      </c>
      <c r="AX18" s="645"/>
      <c r="AY18" s="644">
        <v>0</v>
      </c>
      <c r="AZ18" s="645"/>
      <c r="BA18" s="644">
        <v>238172.96</v>
      </c>
      <c r="BB18" s="949">
        <v>100</v>
      </c>
      <c r="BD18" s="432"/>
    </row>
    <row r="19" spans="1:56" s="398" customFormat="1" ht="23.25" customHeight="1" x14ac:dyDescent="0.2">
      <c r="A19" s="651" t="s">
        <v>27</v>
      </c>
      <c r="B19" s="654" t="s">
        <v>133</v>
      </c>
      <c r="C19" s="638">
        <v>775193.61</v>
      </c>
      <c r="D19" s="639">
        <v>0.159</v>
      </c>
      <c r="E19" s="644">
        <v>128928.42</v>
      </c>
      <c r="F19" s="645">
        <v>16.63</v>
      </c>
      <c r="G19" s="644">
        <v>128928.42</v>
      </c>
      <c r="H19" s="645">
        <v>16.63</v>
      </c>
      <c r="I19" s="644">
        <v>128928.42</v>
      </c>
      <c r="J19" s="645">
        <v>16.63</v>
      </c>
      <c r="K19" s="644">
        <v>128928.42</v>
      </c>
      <c r="L19" s="645">
        <v>16.63</v>
      </c>
      <c r="M19" s="644">
        <v>128928.42</v>
      </c>
      <c r="N19" s="645">
        <v>16.63</v>
      </c>
      <c r="O19" s="644">
        <v>130551.51</v>
      </c>
      <c r="P19" s="645">
        <v>16.850000000000001</v>
      </c>
      <c r="Q19" s="644"/>
      <c r="R19" s="645"/>
      <c r="S19" s="644"/>
      <c r="T19" s="645"/>
      <c r="U19" s="644"/>
      <c r="V19" s="645"/>
      <c r="W19" s="644"/>
      <c r="X19" s="645"/>
      <c r="Y19" s="644"/>
      <c r="Z19" s="645"/>
      <c r="AA19" s="644"/>
      <c r="AB19" s="645"/>
      <c r="AC19" s="644"/>
      <c r="AD19" s="645"/>
      <c r="AE19" s="644"/>
      <c r="AF19" s="645"/>
      <c r="AG19" s="644"/>
      <c r="AH19" s="645"/>
      <c r="AI19" s="644"/>
      <c r="AJ19" s="645"/>
      <c r="AK19" s="644"/>
      <c r="AL19" s="645"/>
      <c r="AM19" s="644"/>
      <c r="AN19" s="645"/>
      <c r="AO19" s="644"/>
      <c r="AP19" s="645"/>
      <c r="AQ19" s="644">
        <v>0</v>
      </c>
      <c r="AR19" s="645"/>
      <c r="AS19" s="644">
        <v>0</v>
      </c>
      <c r="AT19" s="645"/>
      <c r="AU19" s="644">
        <v>0</v>
      </c>
      <c r="AV19" s="645"/>
      <c r="AW19" s="644">
        <v>0</v>
      </c>
      <c r="AX19" s="645"/>
      <c r="AY19" s="644">
        <v>0</v>
      </c>
      <c r="AZ19" s="645"/>
      <c r="BA19" s="644">
        <v>775193.61</v>
      </c>
      <c r="BB19" s="949">
        <v>100</v>
      </c>
      <c r="BD19" s="432"/>
    </row>
    <row r="20" spans="1:56" s="398" customFormat="1" ht="23.25" customHeight="1" x14ac:dyDescent="0.2">
      <c r="A20" s="651" t="s">
        <v>28</v>
      </c>
      <c r="B20" s="652" t="s">
        <v>50</v>
      </c>
      <c r="C20" s="638">
        <v>159528.75</v>
      </c>
      <c r="D20" s="639">
        <v>3.27E-2</v>
      </c>
      <c r="E20" s="644">
        <v>26529.63</v>
      </c>
      <c r="F20" s="645">
        <v>16.63</v>
      </c>
      <c r="G20" s="644">
        <v>26529.63</v>
      </c>
      <c r="H20" s="645">
        <v>16.63</v>
      </c>
      <c r="I20" s="644">
        <v>26529.63</v>
      </c>
      <c r="J20" s="645">
        <v>16.63</v>
      </c>
      <c r="K20" s="644">
        <v>26529.63</v>
      </c>
      <c r="L20" s="645">
        <v>16.63</v>
      </c>
      <c r="M20" s="644">
        <v>26529.63</v>
      </c>
      <c r="N20" s="645">
        <v>16.63</v>
      </c>
      <c r="O20" s="644">
        <v>26880.6</v>
      </c>
      <c r="P20" s="645">
        <v>16.850000000000001</v>
      </c>
      <c r="Q20" s="644"/>
      <c r="R20" s="645"/>
      <c r="S20" s="644"/>
      <c r="T20" s="645"/>
      <c r="U20" s="644"/>
      <c r="V20" s="645"/>
      <c r="W20" s="644"/>
      <c r="X20" s="645"/>
      <c r="Y20" s="644"/>
      <c r="Z20" s="645"/>
      <c r="AA20" s="644"/>
      <c r="AB20" s="645"/>
      <c r="AC20" s="644"/>
      <c r="AD20" s="645"/>
      <c r="AE20" s="644"/>
      <c r="AF20" s="645"/>
      <c r="AG20" s="644"/>
      <c r="AH20" s="645"/>
      <c r="AI20" s="644"/>
      <c r="AJ20" s="645"/>
      <c r="AK20" s="644"/>
      <c r="AL20" s="645"/>
      <c r="AM20" s="644"/>
      <c r="AN20" s="645"/>
      <c r="AO20" s="644"/>
      <c r="AP20" s="645"/>
      <c r="AQ20" s="644">
        <v>0</v>
      </c>
      <c r="AR20" s="645"/>
      <c r="AS20" s="644">
        <v>0</v>
      </c>
      <c r="AT20" s="645"/>
      <c r="AU20" s="644">
        <v>0</v>
      </c>
      <c r="AV20" s="645"/>
      <c r="AW20" s="644">
        <v>0</v>
      </c>
      <c r="AX20" s="645"/>
      <c r="AY20" s="644">
        <v>0</v>
      </c>
      <c r="AZ20" s="645"/>
      <c r="BA20" s="644">
        <v>159528.75</v>
      </c>
      <c r="BB20" s="949">
        <v>100</v>
      </c>
      <c r="BD20" s="432"/>
    </row>
    <row r="21" spans="1:56" s="398" customFormat="1" ht="23.25" customHeight="1" x14ac:dyDescent="0.2">
      <c r="A21" s="651" t="s">
        <v>29</v>
      </c>
      <c r="B21" s="652" t="s">
        <v>51</v>
      </c>
      <c r="C21" s="638">
        <v>2315.65</v>
      </c>
      <c r="D21" s="639">
        <v>5.0000000000000001E-4</v>
      </c>
      <c r="E21" s="644">
        <v>385.09</v>
      </c>
      <c r="F21" s="645">
        <v>16.63</v>
      </c>
      <c r="G21" s="644">
        <v>385.09</v>
      </c>
      <c r="H21" s="645">
        <v>16.63</v>
      </c>
      <c r="I21" s="644">
        <v>385.09</v>
      </c>
      <c r="J21" s="645">
        <v>16.63</v>
      </c>
      <c r="K21" s="644">
        <v>385.09</v>
      </c>
      <c r="L21" s="645">
        <v>16.63</v>
      </c>
      <c r="M21" s="644">
        <v>385.09</v>
      </c>
      <c r="N21" s="645">
        <v>16.63</v>
      </c>
      <c r="O21" s="644">
        <v>390.2</v>
      </c>
      <c r="P21" s="645">
        <v>16.850000000000001</v>
      </c>
      <c r="Q21" s="644"/>
      <c r="R21" s="645"/>
      <c r="S21" s="644"/>
      <c r="T21" s="645"/>
      <c r="U21" s="644"/>
      <c r="V21" s="645"/>
      <c r="W21" s="644"/>
      <c r="X21" s="645"/>
      <c r="Y21" s="644"/>
      <c r="Z21" s="645"/>
      <c r="AA21" s="644"/>
      <c r="AB21" s="645"/>
      <c r="AC21" s="644"/>
      <c r="AD21" s="645"/>
      <c r="AE21" s="644"/>
      <c r="AF21" s="645"/>
      <c r="AG21" s="644"/>
      <c r="AH21" s="645"/>
      <c r="AI21" s="644"/>
      <c r="AJ21" s="645"/>
      <c r="AK21" s="644"/>
      <c r="AL21" s="645"/>
      <c r="AM21" s="644"/>
      <c r="AN21" s="645"/>
      <c r="AO21" s="644"/>
      <c r="AP21" s="645"/>
      <c r="AQ21" s="644">
        <v>0</v>
      </c>
      <c r="AR21" s="645"/>
      <c r="AS21" s="644">
        <v>0</v>
      </c>
      <c r="AT21" s="645"/>
      <c r="AU21" s="644">
        <v>0</v>
      </c>
      <c r="AV21" s="645"/>
      <c r="AW21" s="644">
        <v>0</v>
      </c>
      <c r="AX21" s="645"/>
      <c r="AY21" s="644">
        <v>0</v>
      </c>
      <c r="AZ21" s="645"/>
      <c r="BA21" s="644">
        <v>2315.65</v>
      </c>
      <c r="BB21" s="949">
        <v>100</v>
      </c>
      <c r="BD21" s="432"/>
    </row>
    <row r="22" spans="1:56" s="359" customFormat="1" ht="23.25" customHeight="1" x14ac:dyDescent="0.2">
      <c r="A22" s="626"/>
      <c r="B22" s="649"/>
      <c r="C22" s="638"/>
      <c r="D22" s="639"/>
      <c r="E22" s="644"/>
      <c r="F22" s="645"/>
      <c r="G22" s="644"/>
      <c r="H22" s="645"/>
      <c r="I22" s="644"/>
      <c r="J22" s="645"/>
      <c r="K22" s="644"/>
      <c r="L22" s="645"/>
      <c r="M22" s="644"/>
      <c r="N22" s="645"/>
      <c r="O22" s="644"/>
      <c r="P22" s="645"/>
      <c r="Q22" s="644"/>
      <c r="R22" s="645"/>
      <c r="S22" s="644"/>
      <c r="T22" s="645"/>
      <c r="U22" s="644"/>
      <c r="V22" s="645"/>
      <c r="W22" s="644"/>
      <c r="X22" s="645"/>
      <c r="Y22" s="644"/>
      <c r="Z22" s="645"/>
      <c r="AA22" s="644"/>
      <c r="AB22" s="645"/>
      <c r="AC22" s="644"/>
      <c r="AD22" s="645"/>
      <c r="AE22" s="644"/>
      <c r="AF22" s="645"/>
      <c r="AG22" s="644"/>
      <c r="AH22" s="645"/>
      <c r="AI22" s="644"/>
      <c r="AJ22" s="645"/>
      <c r="AK22" s="644"/>
      <c r="AL22" s="645"/>
      <c r="AM22" s="644"/>
      <c r="AN22" s="645"/>
      <c r="AO22" s="644"/>
      <c r="AP22" s="645"/>
      <c r="AQ22" s="644"/>
      <c r="AR22" s="645"/>
      <c r="AS22" s="644"/>
      <c r="AT22" s="645"/>
      <c r="AU22" s="644"/>
      <c r="AV22" s="645"/>
      <c r="AW22" s="644"/>
      <c r="AX22" s="645"/>
      <c r="AY22" s="644"/>
      <c r="AZ22" s="645"/>
      <c r="BA22" s="644"/>
      <c r="BB22" s="949"/>
      <c r="BD22" s="353"/>
    </row>
    <row r="23" spans="1:56" s="315" customFormat="1" ht="23.25" customHeight="1" x14ac:dyDescent="0.2">
      <c r="A23" s="622">
        <v>4</v>
      </c>
      <c r="B23" s="637" t="s">
        <v>218</v>
      </c>
      <c r="C23" s="638"/>
      <c r="D23" s="639"/>
      <c r="E23" s="640"/>
      <c r="F23" s="641"/>
      <c r="G23" s="640"/>
      <c r="H23" s="646"/>
      <c r="I23" s="640"/>
      <c r="J23" s="641"/>
      <c r="K23" s="640"/>
      <c r="L23" s="641"/>
      <c r="M23" s="640"/>
      <c r="N23" s="641"/>
      <c r="O23" s="640"/>
      <c r="P23" s="641"/>
      <c r="Q23" s="640"/>
      <c r="R23" s="641"/>
      <c r="S23" s="640"/>
      <c r="T23" s="641"/>
      <c r="U23" s="640"/>
      <c r="V23" s="641"/>
      <c r="W23" s="640"/>
      <c r="X23" s="641"/>
      <c r="Y23" s="640"/>
      <c r="Z23" s="641"/>
      <c r="AA23" s="640"/>
      <c r="AB23" s="641"/>
      <c r="AC23" s="640"/>
      <c r="AD23" s="641"/>
      <c r="AE23" s="640"/>
      <c r="AF23" s="641"/>
      <c r="AG23" s="640"/>
      <c r="AH23" s="641"/>
      <c r="AI23" s="640"/>
      <c r="AJ23" s="641"/>
      <c r="AK23" s="640"/>
      <c r="AL23" s="641"/>
      <c r="AM23" s="640"/>
      <c r="AN23" s="641"/>
      <c r="AO23" s="640"/>
      <c r="AP23" s="641"/>
      <c r="AQ23" s="640"/>
      <c r="AR23" s="641"/>
      <c r="AS23" s="640"/>
      <c r="AT23" s="641"/>
      <c r="AU23" s="640"/>
      <c r="AV23" s="641"/>
      <c r="AW23" s="640"/>
      <c r="AX23" s="641"/>
      <c r="AY23" s="640"/>
      <c r="AZ23" s="641"/>
      <c r="BA23" s="640"/>
      <c r="BB23" s="949"/>
      <c r="BD23" s="353"/>
    </row>
    <row r="24" spans="1:56" s="398" customFormat="1" ht="23.25" customHeight="1" x14ac:dyDescent="0.2">
      <c r="A24" s="651" t="s">
        <v>166</v>
      </c>
      <c r="B24" s="656" t="s">
        <v>346</v>
      </c>
      <c r="C24" s="638">
        <v>191555.26</v>
      </c>
      <c r="D24" s="639">
        <v>3.9300000000000002E-2</v>
      </c>
      <c r="E24" s="644">
        <v>0</v>
      </c>
      <c r="F24" s="645"/>
      <c r="G24" s="644">
        <v>0</v>
      </c>
      <c r="H24" s="645"/>
      <c r="I24" s="644">
        <v>0</v>
      </c>
      <c r="J24" s="645"/>
      <c r="K24" s="644">
        <v>0</v>
      </c>
      <c r="L24" s="645"/>
      <c r="M24" s="644">
        <v>0</v>
      </c>
      <c r="N24" s="645"/>
      <c r="O24" s="644">
        <v>6934.3</v>
      </c>
      <c r="P24" s="645">
        <v>3.62</v>
      </c>
      <c r="Q24" s="644">
        <v>15401.04</v>
      </c>
      <c r="R24" s="645">
        <v>8.0399999999999991</v>
      </c>
      <c r="S24" s="644">
        <v>15401.04</v>
      </c>
      <c r="T24" s="645">
        <v>8.0399999999999991</v>
      </c>
      <c r="U24" s="644">
        <v>15401.04</v>
      </c>
      <c r="V24" s="645">
        <v>8.0399999999999991</v>
      </c>
      <c r="W24" s="644">
        <v>15401.04</v>
      </c>
      <c r="X24" s="645">
        <v>8.0399999999999991</v>
      </c>
      <c r="Y24" s="644">
        <v>15401.04</v>
      </c>
      <c r="Z24" s="645">
        <v>8.0399999999999991</v>
      </c>
      <c r="AA24" s="644">
        <v>15401.04</v>
      </c>
      <c r="AB24" s="645">
        <v>8.0399999999999991</v>
      </c>
      <c r="AC24" s="644">
        <v>15401.04</v>
      </c>
      <c r="AD24" s="645">
        <v>8.0399999999999991</v>
      </c>
      <c r="AE24" s="644">
        <v>15401.04</v>
      </c>
      <c r="AF24" s="645">
        <v>8.0399999999999991</v>
      </c>
      <c r="AG24" s="644">
        <v>15401.04</v>
      </c>
      <c r="AH24" s="645">
        <v>8.0399999999999991</v>
      </c>
      <c r="AI24" s="644">
        <v>15401.04</v>
      </c>
      <c r="AJ24" s="645">
        <v>8.0399999999999991</v>
      </c>
      <c r="AK24" s="644">
        <v>15401.04</v>
      </c>
      <c r="AL24" s="645">
        <v>8.0399999999999991</v>
      </c>
      <c r="AM24" s="644">
        <v>15209.52</v>
      </c>
      <c r="AN24" s="645">
        <v>7.94</v>
      </c>
      <c r="AO24" s="644"/>
      <c r="AP24" s="645"/>
      <c r="AQ24" s="644">
        <v>0</v>
      </c>
      <c r="AR24" s="645"/>
      <c r="AS24" s="644">
        <v>0</v>
      </c>
      <c r="AT24" s="645"/>
      <c r="AU24" s="644">
        <v>0</v>
      </c>
      <c r="AV24" s="645"/>
      <c r="AW24" s="644">
        <v>0</v>
      </c>
      <c r="AX24" s="645"/>
      <c r="AY24" s="644">
        <v>0</v>
      </c>
      <c r="AZ24" s="645"/>
      <c r="BA24" s="644">
        <v>191555.26</v>
      </c>
      <c r="BB24" s="949">
        <v>100</v>
      </c>
      <c r="BD24" s="432"/>
    </row>
    <row r="25" spans="1:56" s="398" customFormat="1" ht="23.25" customHeight="1" x14ac:dyDescent="0.2">
      <c r="A25" s="651" t="s">
        <v>167</v>
      </c>
      <c r="B25" s="656" t="s">
        <v>42</v>
      </c>
      <c r="C25" s="638">
        <v>2296434.48</v>
      </c>
      <c r="D25" s="639">
        <v>0.47110000000000002</v>
      </c>
      <c r="E25" s="644">
        <v>0</v>
      </c>
      <c r="F25" s="645"/>
      <c r="G25" s="644">
        <v>0</v>
      </c>
      <c r="H25" s="645"/>
      <c r="I25" s="644">
        <v>0</v>
      </c>
      <c r="J25" s="645"/>
      <c r="K25" s="644">
        <v>0</v>
      </c>
      <c r="L25" s="645"/>
      <c r="M25" s="644">
        <v>0</v>
      </c>
      <c r="N25" s="645"/>
      <c r="O25" s="644">
        <v>83065.7</v>
      </c>
      <c r="P25" s="645">
        <v>3.62</v>
      </c>
      <c r="Q25" s="644">
        <v>184598.96</v>
      </c>
      <c r="R25" s="645">
        <v>8.0399999999999991</v>
      </c>
      <c r="S25" s="644">
        <v>184598.96</v>
      </c>
      <c r="T25" s="645">
        <v>8.0399999999999991</v>
      </c>
      <c r="U25" s="644">
        <v>184598.96</v>
      </c>
      <c r="V25" s="645">
        <v>8.0399999999999991</v>
      </c>
      <c r="W25" s="644">
        <v>184598.96</v>
      </c>
      <c r="X25" s="645">
        <v>8.0399999999999991</v>
      </c>
      <c r="Y25" s="644">
        <v>184598.96</v>
      </c>
      <c r="Z25" s="645">
        <v>8.0399999999999991</v>
      </c>
      <c r="AA25" s="644">
        <v>184598.96</v>
      </c>
      <c r="AB25" s="645">
        <v>8.0399999999999991</v>
      </c>
      <c r="AC25" s="644">
        <v>184598.96</v>
      </c>
      <c r="AD25" s="645">
        <v>8.0399999999999991</v>
      </c>
      <c r="AE25" s="644">
        <v>184598.96</v>
      </c>
      <c r="AF25" s="645">
        <v>8.0399999999999991</v>
      </c>
      <c r="AG25" s="644">
        <v>184598.96</v>
      </c>
      <c r="AH25" s="645">
        <v>8.0399999999999991</v>
      </c>
      <c r="AI25" s="644">
        <v>184598.96</v>
      </c>
      <c r="AJ25" s="645">
        <v>8.0399999999999991</v>
      </c>
      <c r="AK25" s="644">
        <v>184598.96</v>
      </c>
      <c r="AL25" s="645">
        <v>8.0399999999999991</v>
      </c>
      <c r="AM25" s="644">
        <v>182780.22</v>
      </c>
      <c r="AN25" s="645">
        <v>7.94</v>
      </c>
      <c r="AO25" s="644"/>
      <c r="AP25" s="645"/>
      <c r="AQ25" s="644">
        <v>0</v>
      </c>
      <c r="AR25" s="645"/>
      <c r="AS25" s="644">
        <v>0</v>
      </c>
      <c r="AT25" s="645"/>
      <c r="AU25" s="644">
        <v>0</v>
      </c>
      <c r="AV25" s="645"/>
      <c r="AW25" s="644">
        <v>0</v>
      </c>
      <c r="AX25" s="645"/>
      <c r="AY25" s="644">
        <v>0</v>
      </c>
      <c r="AZ25" s="645"/>
      <c r="BA25" s="644">
        <v>2296434.48</v>
      </c>
      <c r="BB25" s="949">
        <v>100</v>
      </c>
      <c r="BD25" s="432"/>
    </row>
    <row r="26" spans="1:56" s="398" customFormat="1" ht="23.25" customHeight="1" x14ac:dyDescent="0.2">
      <c r="A26" s="651" t="s">
        <v>168</v>
      </c>
      <c r="B26" s="656" t="s">
        <v>694</v>
      </c>
      <c r="C26" s="638">
        <v>824672.15</v>
      </c>
      <c r="D26" s="639">
        <v>0.16919999999999999</v>
      </c>
      <c r="E26" s="644">
        <v>0</v>
      </c>
      <c r="F26" s="645"/>
      <c r="G26" s="644">
        <v>0</v>
      </c>
      <c r="H26" s="645"/>
      <c r="I26" s="644">
        <v>0</v>
      </c>
      <c r="J26" s="645"/>
      <c r="K26" s="644">
        <v>0</v>
      </c>
      <c r="L26" s="645"/>
      <c r="M26" s="644">
        <v>0</v>
      </c>
      <c r="N26" s="645"/>
      <c r="O26" s="644">
        <v>0</v>
      </c>
      <c r="P26" s="645"/>
      <c r="Q26" s="644">
        <v>0</v>
      </c>
      <c r="R26" s="645"/>
      <c r="S26" s="644">
        <v>0</v>
      </c>
      <c r="T26" s="645"/>
      <c r="U26" s="644">
        <v>0</v>
      </c>
      <c r="V26" s="645"/>
      <c r="W26" s="644">
        <v>0</v>
      </c>
      <c r="X26" s="645"/>
      <c r="Y26" s="644">
        <v>0</v>
      </c>
      <c r="Z26" s="645"/>
      <c r="AA26" s="644">
        <v>0</v>
      </c>
      <c r="AB26" s="645"/>
      <c r="AC26" s="644">
        <v>0</v>
      </c>
      <c r="AD26" s="645"/>
      <c r="AE26" s="644">
        <v>0</v>
      </c>
      <c r="AF26" s="645"/>
      <c r="AG26" s="644">
        <v>0</v>
      </c>
      <c r="AH26" s="645"/>
      <c r="AI26" s="644">
        <v>0</v>
      </c>
      <c r="AJ26" s="645"/>
      <c r="AK26" s="644">
        <v>0</v>
      </c>
      <c r="AL26" s="645"/>
      <c r="AM26" s="644">
        <v>0</v>
      </c>
      <c r="AN26" s="645"/>
      <c r="AO26" s="644">
        <v>120000</v>
      </c>
      <c r="AP26" s="645">
        <v>14.55</v>
      </c>
      <c r="AQ26" s="644">
        <v>180000</v>
      </c>
      <c r="AR26" s="645">
        <v>22</v>
      </c>
      <c r="AS26" s="644">
        <v>150000</v>
      </c>
      <c r="AT26" s="645">
        <v>18</v>
      </c>
      <c r="AU26" s="644">
        <v>150000</v>
      </c>
      <c r="AV26" s="645">
        <v>18</v>
      </c>
      <c r="AW26" s="644">
        <v>140000</v>
      </c>
      <c r="AX26" s="645">
        <v>17</v>
      </c>
      <c r="AY26" s="644">
        <v>84672.15</v>
      </c>
      <c r="AZ26" s="645">
        <v>10.45</v>
      </c>
      <c r="BA26" s="644">
        <v>824672.15</v>
      </c>
      <c r="BB26" s="949">
        <v>100</v>
      </c>
      <c r="BD26" s="432"/>
    </row>
    <row r="27" spans="1:56" s="398" customFormat="1" ht="23.25" customHeight="1" x14ac:dyDescent="0.2">
      <c r="A27" s="651" t="s">
        <v>169</v>
      </c>
      <c r="B27" s="656" t="s">
        <v>584</v>
      </c>
      <c r="C27" s="638">
        <v>110275.99</v>
      </c>
      <c r="D27" s="639">
        <v>2.2599999999999999E-2</v>
      </c>
      <c r="E27" s="644">
        <v>0</v>
      </c>
      <c r="F27" s="645"/>
      <c r="G27" s="644">
        <v>0</v>
      </c>
      <c r="H27" s="645"/>
      <c r="I27" s="644">
        <v>0</v>
      </c>
      <c r="J27" s="645"/>
      <c r="K27" s="644">
        <v>0</v>
      </c>
      <c r="L27" s="645"/>
      <c r="M27" s="644">
        <v>0</v>
      </c>
      <c r="N27" s="645"/>
      <c r="O27" s="644">
        <v>0</v>
      </c>
      <c r="P27" s="645"/>
      <c r="Q27" s="644">
        <v>0</v>
      </c>
      <c r="R27" s="645"/>
      <c r="S27" s="644">
        <v>0</v>
      </c>
      <c r="T27" s="645"/>
      <c r="U27" s="644">
        <v>0</v>
      </c>
      <c r="V27" s="645"/>
      <c r="W27" s="644">
        <v>0</v>
      </c>
      <c r="X27" s="645"/>
      <c r="Y27" s="644">
        <v>0</v>
      </c>
      <c r="Z27" s="645"/>
      <c r="AA27" s="644">
        <v>0</v>
      </c>
      <c r="AB27" s="645"/>
      <c r="AC27" s="644">
        <v>0</v>
      </c>
      <c r="AD27" s="645"/>
      <c r="AE27" s="644">
        <v>0</v>
      </c>
      <c r="AF27" s="645"/>
      <c r="AG27" s="644">
        <v>0</v>
      </c>
      <c r="AH27" s="645"/>
      <c r="AI27" s="644">
        <v>0</v>
      </c>
      <c r="AJ27" s="645"/>
      <c r="AK27" s="644">
        <v>0</v>
      </c>
      <c r="AL27" s="645"/>
      <c r="AM27" s="644">
        <v>0</v>
      </c>
      <c r="AN27" s="645"/>
      <c r="AO27" s="644"/>
      <c r="AP27" s="645"/>
      <c r="AQ27" s="644"/>
      <c r="AR27" s="645"/>
      <c r="AS27" s="644">
        <v>0</v>
      </c>
      <c r="AT27" s="645"/>
      <c r="AU27" s="644">
        <v>0</v>
      </c>
      <c r="AV27" s="645"/>
      <c r="AW27" s="644">
        <v>45764.54</v>
      </c>
      <c r="AX27" s="645">
        <v>41.5</v>
      </c>
      <c r="AY27" s="644">
        <v>64511.45</v>
      </c>
      <c r="AZ27" s="645">
        <v>58.5</v>
      </c>
      <c r="BA27" s="644">
        <v>110275.99</v>
      </c>
      <c r="BB27" s="949">
        <v>100</v>
      </c>
      <c r="BD27" s="432"/>
    </row>
    <row r="28" spans="1:56" s="398" customFormat="1" ht="23.25" customHeight="1" x14ac:dyDescent="0.2">
      <c r="A28" s="651" t="s">
        <v>170</v>
      </c>
      <c r="B28" s="656" t="s">
        <v>585</v>
      </c>
      <c r="C28" s="638">
        <v>10296.959999999999</v>
      </c>
      <c r="D28" s="639">
        <v>2.0999999999999999E-3</v>
      </c>
      <c r="E28" s="644">
        <v>0</v>
      </c>
      <c r="F28" s="645"/>
      <c r="G28" s="644">
        <v>0</v>
      </c>
      <c r="H28" s="645"/>
      <c r="I28" s="644">
        <v>0</v>
      </c>
      <c r="J28" s="645"/>
      <c r="K28" s="644">
        <v>0</v>
      </c>
      <c r="L28" s="645"/>
      <c r="M28" s="644">
        <v>0</v>
      </c>
      <c r="N28" s="645"/>
      <c r="O28" s="644">
        <v>0</v>
      </c>
      <c r="P28" s="645"/>
      <c r="Q28" s="644">
        <v>0</v>
      </c>
      <c r="R28" s="645"/>
      <c r="S28" s="644">
        <v>0</v>
      </c>
      <c r="T28" s="645"/>
      <c r="U28" s="644">
        <v>0</v>
      </c>
      <c r="V28" s="645"/>
      <c r="W28" s="644">
        <v>0</v>
      </c>
      <c r="X28" s="645"/>
      <c r="Y28" s="644">
        <v>0</v>
      </c>
      <c r="Z28" s="645"/>
      <c r="AA28" s="644">
        <v>0</v>
      </c>
      <c r="AB28" s="645"/>
      <c r="AC28" s="644">
        <v>0</v>
      </c>
      <c r="AD28" s="645"/>
      <c r="AE28" s="644">
        <v>0</v>
      </c>
      <c r="AF28" s="645"/>
      <c r="AG28" s="644">
        <v>0</v>
      </c>
      <c r="AH28" s="645"/>
      <c r="AI28" s="644">
        <v>0</v>
      </c>
      <c r="AJ28" s="645"/>
      <c r="AK28" s="644">
        <v>0</v>
      </c>
      <c r="AL28" s="645"/>
      <c r="AM28" s="644">
        <v>0</v>
      </c>
      <c r="AN28" s="645"/>
      <c r="AO28" s="644"/>
      <c r="AP28" s="645"/>
      <c r="AQ28" s="644"/>
      <c r="AR28" s="645"/>
      <c r="AS28" s="644">
        <v>0</v>
      </c>
      <c r="AT28" s="645"/>
      <c r="AU28" s="644">
        <v>0</v>
      </c>
      <c r="AV28" s="645"/>
      <c r="AW28" s="644">
        <v>4235.46</v>
      </c>
      <c r="AX28" s="645">
        <v>41.5</v>
      </c>
      <c r="AY28" s="644">
        <v>6061.5</v>
      </c>
      <c r="AZ28" s="645">
        <v>58.5</v>
      </c>
      <c r="BA28" s="644">
        <v>10296.959999999999</v>
      </c>
      <c r="BB28" s="949">
        <v>100</v>
      </c>
      <c r="BD28" s="432"/>
    </row>
    <row r="29" spans="1:56" s="359" customFormat="1" ht="23.25" customHeight="1" x14ac:dyDescent="0.2">
      <c r="A29" s="626"/>
      <c r="B29" s="657"/>
      <c r="C29" s="644"/>
      <c r="D29" s="658"/>
      <c r="E29" s="644"/>
      <c r="F29" s="645"/>
      <c r="G29" s="644"/>
      <c r="H29" s="655"/>
      <c r="I29" s="644"/>
      <c r="J29" s="655"/>
      <c r="K29" s="644"/>
      <c r="L29" s="655"/>
      <c r="M29" s="644"/>
      <c r="N29" s="655"/>
      <c r="O29" s="644"/>
      <c r="P29" s="655"/>
      <c r="Q29" s="644"/>
      <c r="R29" s="655"/>
      <c r="S29" s="644"/>
      <c r="T29" s="655"/>
      <c r="U29" s="644"/>
      <c r="V29" s="655"/>
      <c r="W29" s="644"/>
      <c r="X29" s="655"/>
      <c r="Y29" s="644"/>
      <c r="Z29" s="655"/>
      <c r="AA29" s="644"/>
      <c r="AB29" s="655"/>
      <c r="AC29" s="644"/>
      <c r="AD29" s="655"/>
      <c r="AE29" s="644"/>
      <c r="AF29" s="655"/>
      <c r="AG29" s="644"/>
      <c r="AH29" s="655"/>
      <c r="AI29" s="644"/>
      <c r="AJ29" s="655"/>
      <c r="AK29" s="644"/>
      <c r="AL29" s="655"/>
      <c r="AM29" s="644"/>
      <c r="AN29" s="655"/>
      <c r="AO29" s="644"/>
      <c r="AP29" s="655"/>
      <c r="AQ29" s="644"/>
      <c r="AR29" s="655"/>
      <c r="AS29" s="644"/>
      <c r="AT29" s="655"/>
      <c r="AU29" s="644"/>
      <c r="AV29" s="655"/>
      <c r="AW29" s="644"/>
      <c r="AX29" s="655"/>
      <c r="AY29" s="644"/>
      <c r="AZ29" s="655"/>
      <c r="BA29" s="644"/>
      <c r="BB29" s="643"/>
    </row>
    <row r="30" spans="1:56" s="359" customFormat="1" ht="29.25" customHeight="1" x14ac:dyDescent="0.2">
      <c r="A30" s="1464" t="s">
        <v>17</v>
      </c>
      <c r="B30" s="1465"/>
      <c r="C30" s="659">
        <v>4874985.17</v>
      </c>
      <c r="D30" s="660">
        <v>1</v>
      </c>
      <c r="E30" s="661">
        <v>237567.75</v>
      </c>
      <c r="F30" s="662">
        <v>0.05</v>
      </c>
      <c r="G30" s="661">
        <v>205000</v>
      </c>
      <c r="H30" s="662">
        <v>0.04</v>
      </c>
      <c r="I30" s="661">
        <v>205000</v>
      </c>
      <c r="J30" s="662">
        <v>0.04</v>
      </c>
      <c r="K30" s="661">
        <v>205000</v>
      </c>
      <c r="L30" s="662">
        <v>0.04</v>
      </c>
      <c r="M30" s="661">
        <v>205000</v>
      </c>
      <c r="N30" s="662">
        <v>0.04</v>
      </c>
      <c r="O30" s="661">
        <v>298510.40000000002</v>
      </c>
      <c r="P30" s="662">
        <v>0.06</v>
      </c>
      <c r="Q30" s="661">
        <v>210000</v>
      </c>
      <c r="R30" s="662">
        <v>0.04</v>
      </c>
      <c r="S30" s="661">
        <v>210000</v>
      </c>
      <c r="T30" s="662">
        <v>0.04</v>
      </c>
      <c r="U30" s="661">
        <v>210000</v>
      </c>
      <c r="V30" s="662">
        <v>0.04</v>
      </c>
      <c r="W30" s="661">
        <v>210000</v>
      </c>
      <c r="X30" s="662">
        <v>0.04</v>
      </c>
      <c r="Y30" s="661">
        <v>210000</v>
      </c>
      <c r="Z30" s="662">
        <v>0.04</v>
      </c>
      <c r="AA30" s="661">
        <v>210000</v>
      </c>
      <c r="AB30" s="662">
        <v>0.04</v>
      </c>
      <c r="AC30" s="661">
        <v>210000</v>
      </c>
      <c r="AD30" s="662">
        <v>0.04</v>
      </c>
      <c r="AE30" s="661">
        <v>210000</v>
      </c>
      <c r="AF30" s="662">
        <v>0.04</v>
      </c>
      <c r="AG30" s="661">
        <v>210000</v>
      </c>
      <c r="AH30" s="662">
        <v>0.04</v>
      </c>
      <c r="AI30" s="661">
        <v>210000</v>
      </c>
      <c r="AJ30" s="662">
        <v>0.04</v>
      </c>
      <c r="AK30" s="661">
        <v>210000</v>
      </c>
      <c r="AL30" s="662">
        <v>0.04</v>
      </c>
      <c r="AM30" s="661">
        <v>210000</v>
      </c>
      <c r="AN30" s="662">
        <v>0.04</v>
      </c>
      <c r="AO30" s="661">
        <v>130000</v>
      </c>
      <c r="AP30" s="662">
        <v>0.03</v>
      </c>
      <c r="AQ30" s="661">
        <v>190000</v>
      </c>
      <c r="AR30" s="662">
        <v>0.04</v>
      </c>
      <c r="AS30" s="661">
        <v>160000</v>
      </c>
      <c r="AT30" s="662">
        <v>0.03</v>
      </c>
      <c r="AU30" s="661">
        <v>160000</v>
      </c>
      <c r="AV30" s="662">
        <v>0.03</v>
      </c>
      <c r="AW30" s="661">
        <v>200000</v>
      </c>
      <c r="AX30" s="662">
        <v>0.04</v>
      </c>
      <c r="AY30" s="661">
        <v>158907.01999999999</v>
      </c>
      <c r="AZ30" s="662">
        <v>0.03</v>
      </c>
      <c r="BA30" s="661">
        <v>4874985.17</v>
      </c>
      <c r="BB30" s="663">
        <v>1</v>
      </c>
    </row>
    <row r="31" spans="1:56" s="359" customFormat="1" ht="29.25" customHeight="1" thickBot="1" x14ac:dyDescent="0.25">
      <c r="A31" s="1466" t="s">
        <v>18</v>
      </c>
      <c r="B31" s="1467"/>
      <c r="C31" s="664"/>
      <c r="D31" s="665"/>
      <c r="E31" s="666">
        <v>237567.75</v>
      </c>
      <c r="F31" s="667">
        <v>0.05</v>
      </c>
      <c r="G31" s="666">
        <v>442567.75</v>
      </c>
      <c r="H31" s="667">
        <v>0.09</v>
      </c>
      <c r="I31" s="666">
        <v>647567.75</v>
      </c>
      <c r="J31" s="667">
        <v>0.13</v>
      </c>
      <c r="K31" s="666">
        <v>852567.75</v>
      </c>
      <c r="L31" s="667">
        <v>0.17</v>
      </c>
      <c r="M31" s="666">
        <v>1057567.75</v>
      </c>
      <c r="N31" s="667">
        <v>0.21</v>
      </c>
      <c r="O31" s="666">
        <v>1356078.15</v>
      </c>
      <c r="P31" s="667">
        <v>0.27</v>
      </c>
      <c r="Q31" s="666">
        <v>1566078.15</v>
      </c>
      <c r="R31" s="667">
        <v>0.31</v>
      </c>
      <c r="S31" s="666">
        <v>1776078.15</v>
      </c>
      <c r="T31" s="667">
        <v>0.35</v>
      </c>
      <c r="U31" s="666">
        <v>1986078.15</v>
      </c>
      <c r="V31" s="667">
        <v>0.39</v>
      </c>
      <c r="W31" s="666">
        <v>2196078.15</v>
      </c>
      <c r="X31" s="667">
        <v>0.43</v>
      </c>
      <c r="Y31" s="666">
        <v>2406078.15</v>
      </c>
      <c r="Z31" s="667">
        <v>0.47</v>
      </c>
      <c r="AA31" s="666">
        <v>2616078.15</v>
      </c>
      <c r="AB31" s="667">
        <v>0.51</v>
      </c>
      <c r="AC31" s="666">
        <v>2826078.15</v>
      </c>
      <c r="AD31" s="667">
        <v>0.55000000000000004</v>
      </c>
      <c r="AE31" s="666">
        <v>3036078.15</v>
      </c>
      <c r="AF31" s="667">
        <v>0.59</v>
      </c>
      <c r="AG31" s="666">
        <v>3246078.15</v>
      </c>
      <c r="AH31" s="667">
        <v>0.63</v>
      </c>
      <c r="AI31" s="666">
        <v>3456078.15</v>
      </c>
      <c r="AJ31" s="667">
        <v>0.67</v>
      </c>
      <c r="AK31" s="666">
        <v>3666078.15</v>
      </c>
      <c r="AL31" s="667">
        <v>0.71</v>
      </c>
      <c r="AM31" s="666">
        <v>3876078.15</v>
      </c>
      <c r="AN31" s="667">
        <v>0.75</v>
      </c>
      <c r="AO31" s="666">
        <v>4006078.15</v>
      </c>
      <c r="AP31" s="667">
        <v>0.78</v>
      </c>
      <c r="AQ31" s="666">
        <v>4196078.1500000004</v>
      </c>
      <c r="AR31" s="667">
        <v>0.82</v>
      </c>
      <c r="AS31" s="666">
        <v>4356078.1500000004</v>
      </c>
      <c r="AT31" s="667">
        <v>0.85</v>
      </c>
      <c r="AU31" s="666">
        <v>4516078.1500000004</v>
      </c>
      <c r="AV31" s="667">
        <v>0.88</v>
      </c>
      <c r="AW31" s="666">
        <v>4716078.1500000004</v>
      </c>
      <c r="AX31" s="667">
        <v>0.92</v>
      </c>
      <c r="AY31" s="666">
        <v>4874985.17</v>
      </c>
      <c r="AZ31" s="667"/>
      <c r="BA31" s="666"/>
      <c r="BB31" s="668"/>
    </row>
    <row r="32" spans="1:56" ht="26.25" x14ac:dyDescent="0.2">
      <c r="E32" s="950"/>
      <c r="G32" s="950"/>
      <c r="I32" s="950"/>
      <c r="K32" s="950"/>
      <c r="M32" s="950"/>
      <c r="O32" s="950"/>
      <c r="Q32" s="950"/>
      <c r="S32" s="950"/>
      <c r="U32" s="950"/>
      <c r="W32" s="950"/>
      <c r="Y32" s="950"/>
      <c r="AA32" s="950"/>
      <c r="AC32" s="950"/>
      <c r="AE32" s="950"/>
      <c r="AG32" s="950"/>
      <c r="AI32" s="950"/>
      <c r="AK32" s="950"/>
      <c r="AM32" s="950"/>
      <c r="AO32" s="950"/>
      <c r="AQ32" s="950"/>
      <c r="AS32" s="950"/>
      <c r="AU32" s="950"/>
      <c r="AW32" s="950"/>
      <c r="AY32" s="950"/>
      <c r="BA32" s="950"/>
    </row>
    <row r="33" spans="2:49" x14ac:dyDescent="0.2">
      <c r="B33" s="296" t="s">
        <v>177</v>
      </c>
    </row>
    <row r="34" spans="2:49" x14ac:dyDescent="0.2">
      <c r="B34" s="298" t="s">
        <v>537</v>
      </c>
    </row>
    <row r="35" spans="2:49" ht="15" x14ac:dyDescent="0.2">
      <c r="C35" s="365"/>
      <c r="E35" s="257"/>
      <c r="G35" s="257"/>
      <c r="O35" s="257"/>
      <c r="Q35" s="257"/>
      <c r="S35" s="257"/>
      <c r="AM35" s="257"/>
      <c r="AO35" s="257"/>
      <c r="AQ35" s="257"/>
      <c r="AW35" s="255"/>
    </row>
    <row r="36" spans="2:49" ht="15" x14ac:dyDescent="0.2">
      <c r="E36" s="257"/>
      <c r="G36" s="257"/>
      <c r="I36" s="471"/>
      <c r="O36" s="257"/>
      <c r="Q36" s="257"/>
      <c r="S36" s="257"/>
      <c r="W36" s="471"/>
      <c r="AM36" s="257"/>
      <c r="AO36" s="257"/>
      <c r="AQ36" s="257"/>
      <c r="AW36" s="471"/>
    </row>
  </sheetData>
  <mergeCells count="35">
    <mergeCell ref="I9:J9"/>
    <mergeCell ref="W9:X9"/>
    <mergeCell ref="AW9:AX9"/>
    <mergeCell ref="AY9:AZ9"/>
    <mergeCell ref="BA9:BB9"/>
    <mergeCell ref="K9:L9"/>
    <mergeCell ref="M9:N9"/>
    <mergeCell ref="Y9:Z9"/>
    <mergeCell ref="AA9:AB9"/>
    <mergeCell ref="AC9:AD9"/>
    <mergeCell ref="AE9:AF9"/>
    <mergeCell ref="AG9:AH9"/>
    <mergeCell ref="AI9:AJ9"/>
    <mergeCell ref="AK9:AL9"/>
    <mergeCell ref="AM9:AN9"/>
    <mergeCell ref="AO9:AP9"/>
    <mergeCell ref="AQ9:AR9"/>
    <mergeCell ref="AS9:AT9"/>
    <mergeCell ref="AU9:AV9"/>
    <mergeCell ref="AX5:AY5"/>
    <mergeCell ref="A1:B2"/>
    <mergeCell ref="AZ3:BB6"/>
    <mergeCell ref="A30:B30"/>
    <mergeCell ref="A31:B31"/>
    <mergeCell ref="A8:A10"/>
    <mergeCell ref="B8:B10"/>
    <mergeCell ref="C8:D9"/>
    <mergeCell ref="O9:P9"/>
    <mergeCell ref="Q9:R9"/>
    <mergeCell ref="S9:T9"/>
    <mergeCell ref="U9:V9"/>
    <mergeCell ref="A7:D7"/>
    <mergeCell ref="E8:BB8"/>
    <mergeCell ref="E9:F9"/>
    <mergeCell ref="G9:H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1"/>
  <sheetViews>
    <sheetView view="pageBreakPreview" topLeftCell="A10" zoomScale="115" zoomScaleSheetLayoutView="115" workbookViewId="0">
      <selection activeCell="G16" sqref="G16"/>
    </sheetView>
  </sheetViews>
  <sheetFormatPr defaultRowHeight="12.75" x14ac:dyDescent="0.2"/>
  <cols>
    <col min="1" max="1" width="12.5703125" style="109" customWidth="1"/>
    <col min="2" max="2" width="29.85546875" style="109" customWidth="1"/>
    <col min="3" max="3" width="9.42578125" style="109" customWidth="1"/>
    <col min="4" max="4" width="13.5703125" style="109" customWidth="1"/>
    <col min="5" max="5" width="8.85546875" style="109" customWidth="1"/>
    <col min="6" max="6" width="9.140625" style="109" customWidth="1"/>
    <col min="7" max="7" width="11.85546875" style="109" customWidth="1"/>
    <col min="8" max="8" width="9" style="109" customWidth="1"/>
    <col min="9" max="9" width="8.42578125" style="109" customWidth="1"/>
    <col min="10" max="10" width="11.28515625" style="109" customWidth="1"/>
    <col min="11" max="11" width="11.7109375" style="109" customWidth="1"/>
    <col min="12" max="12" width="10.7109375" style="109" customWidth="1"/>
    <col min="13" max="16384" width="9.140625" style="109"/>
  </cols>
  <sheetData>
    <row r="1" spans="1:15" ht="23.25" customHeight="1" x14ac:dyDescent="0.2">
      <c r="A1" s="1055" t="s">
        <v>54</v>
      </c>
      <c r="B1" s="1056"/>
      <c r="C1" s="1056"/>
      <c r="D1" s="1056"/>
      <c r="E1" s="1056"/>
      <c r="F1" s="1056"/>
      <c r="G1" s="1056"/>
      <c r="H1" s="1056"/>
      <c r="I1" s="1056"/>
      <c r="J1" s="1056"/>
      <c r="K1" s="1056"/>
      <c r="L1" s="1057"/>
    </row>
    <row r="2" spans="1:15" ht="23.25" customHeight="1" x14ac:dyDescent="0.2">
      <c r="A2" s="1058" t="s">
        <v>630</v>
      </c>
      <c r="B2" s="1059"/>
      <c r="C2" s="1059"/>
      <c r="D2" s="1059"/>
      <c r="E2" s="1059"/>
      <c r="F2" s="1059"/>
      <c r="G2" s="1059"/>
      <c r="H2" s="1059"/>
      <c r="I2" s="1059"/>
      <c r="J2" s="1059"/>
      <c r="K2" s="1059"/>
      <c r="L2" s="1060"/>
    </row>
    <row r="3" spans="1:15" s="400" customFormat="1" ht="15" x14ac:dyDescent="0.2">
      <c r="A3" s="399" t="s">
        <v>55</v>
      </c>
      <c r="B3" s="1061" t="s">
        <v>663</v>
      </c>
      <c r="C3" s="1062"/>
      <c r="D3" s="1062"/>
      <c r="E3" s="1062"/>
      <c r="F3" s="1062"/>
      <c r="G3" s="1062"/>
      <c r="H3" s="1062"/>
      <c r="I3" s="1062"/>
      <c r="J3" s="1062"/>
      <c r="K3" s="1062"/>
      <c r="L3" s="1063"/>
    </row>
    <row r="4" spans="1:15" s="400" customFormat="1" ht="15" customHeight="1" x14ac:dyDescent="0.2">
      <c r="A4" s="399" t="s">
        <v>56</v>
      </c>
      <c r="B4" s="1061" t="s">
        <v>629</v>
      </c>
      <c r="C4" s="1062"/>
      <c r="D4" s="1062"/>
      <c r="E4" s="1062"/>
      <c r="F4" s="1062"/>
      <c r="G4" s="1062"/>
      <c r="H4" s="1062"/>
      <c r="I4" s="1076"/>
      <c r="J4" s="1067" t="s">
        <v>703</v>
      </c>
      <c r="K4" s="1068"/>
      <c r="L4" s="1069"/>
    </row>
    <row r="5" spans="1:15" s="400" customFormat="1" ht="15.75" customHeight="1" x14ac:dyDescent="0.2">
      <c r="A5" s="399" t="s">
        <v>57</v>
      </c>
      <c r="B5" s="1061" t="s">
        <v>630</v>
      </c>
      <c r="C5" s="1062"/>
      <c r="D5" s="1062"/>
      <c r="E5" s="1076"/>
      <c r="F5" s="401" t="s">
        <v>374</v>
      </c>
      <c r="G5" s="1064" t="s">
        <v>701</v>
      </c>
      <c r="H5" s="1065"/>
      <c r="I5" s="1066"/>
      <c r="J5" s="1070"/>
      <c r="K5" s="1071"/>
      <c r="L5" s="1072"/>
    </row>
    <row r="6" spans="1:15" s="400" customFormat="1" ht="24.75" customHeight="1" thickBot="1" x14ac:dyDescent="0.25">
      <c r="A6" s="402" t="s">
        <v>58</v>
      </c>
      <c r="B6" s="1077">
        <v>37813.870000000003</v>
      </c>
      <c r="C6" s="1078"/>
      <c r="D6" s="1078"/>
      <c r="E6" s="1079"/>
      <c r="F6" s="403" t="s">
        <v>59</v>
      </c>
      <c r="G6" s="404">
        <v>0.20699999999999999</v>
      </c>
      <c r="H6" s="404"/>
      <c r="I6" s="403" t="s">
        <v>60</v>
      </c>
      <c r="J6" s="1073"/>
      <c r="K6" s="1074"/>
      <c r="L6" s="1075"/>
    </row>
    <row r="7" spans="1:15" ht="28.5" customHeight="1" thickBot="1" x14ac:dyDescent="0.25">
      <c r="A7" s="1052" t="s">
        <v>304</v>
      </c>
      <c r="B7" s="1053"/>
      <c r="C7" s="1053"/>
      <c r="D7" s="1053"/>
      <c r="E7" s="1053"/>
      <c r="F7" s="1053"/>
      <c r="G7" s="1053"/>
      <c r="H7" s="1053"/>
      <c r="I7" s="1053"/>
      <c r="J7" s="1053"/>
      <c r="K7" s="1053"/>
      <c r="L7" s="1054"/>
    </row>
    <row r="8" spans="1:15" ht="28.5" customHeight="1" x14ac:dyDescent="0.2">
      <c r="A8" s="738" t="s">
        <v>0</v>
      </c>
      <c r="B8" s="739" t="s">
        <v>136</v>
      </c>
      <c r="C8" s="739" t="s">
        <v>2</v>
      </c>
      <c r="D8" s="739" t="s">
        <v>3</v>
      </c>
      <c r="E8" s="739" t="s">
        <v>139</v>
      </c>
      <c r="F8" s="739" t="s">
        <v>138</v>
      </c>
      <c r="G8" s="739" t="s">
        <v>137</v>
      </c>
      <c r="H8" s="739"/>
      <c r="I8" s="739"/>
      <c r="J8" s="740"/>
      <c r="K8" s="741" t="s">
        <v>175</v>
      </c>
      <c r="L8" s="742" t="s">
        <v>13</v>
      </c>
    </row>
    <row r="9" spans="1:15" ht="28.5" customHeight="1" x14ac:dyDescent="0.2">
      <c r="A9" s="961" t="s">
        <v>74</v>
      </c>
      <c r="B9" s="1041" t="s">
        <v>470</v>
      </c>
      <c r="C9" s="1042"/>
      <c r="D9" s="1042"/>
      <c r="E9" s="1042"/>
      <c r="F9" s="1042"/>
      <c r="G9" s="1042"/>
      <c r="H9" s="1042"/>
      <c r="I9" s="1043"/>
      <c r="J9" s="960" t="s">
        <v>31</v>
      </c>
      <c r="K9" s="1044">
        <v>6498.6</v>
      </c>
      <c r="L9" s="1045"/>
      <c r="N9" s="109" t="s">
        <v>467</v>
      </c>
      <c r="O9" s="109" t="s">
        <v>468</v>
      </c>
    </row>
    <row r="10" spans="1:15" ht="15" x14ac:dyDescent="0.2">
      <c r="A10" s="459" t="s">
        <v>23</v>
      </c>
      <c r="B10" s="743" t="s">
        <v>75</v>
      </c>
      <c r="C10" s="744" t="s">
        <v>5</v>
      </c>
      <c r="D10" s="952">
        <v>824</v>
      </c>
      <c r="E10" s="952">
        <v>1</v>
      </c>
      <c r="F10" s="745">
        <v>1.5</v>
      </c>
      <c r="G10" s="745"/>
      <c r="H10" s="745"/>
      <c r="I10" s="745"/>
      <c r="J10" s="745"/>
      <c r="K10" s="745"/>
      <c r="L10" s="746">
        <v>1236</v>
      </c>
      <c r="N10" s="109">
        <v>1.5</v>
      </c>
    </row>
    <row r="11" spans="1:15" ht="15" x14ac:dyDescent="0.2">
      <c r="A11" s="459" t="s">
        <v>44</v>
      </c>
      <c r="B11" s="743" t="s">
        <v>76</v>
      </c>
      <c r="C11" s="744" t="s">
        <v>5</v>
      </c>
      <c r="D11" s="952">
        <v>825</v>
      </c>
      <c r="E11" s="745">
        <v>1.2</v>
      </c>
      <c r="F11" s="745">
        <v>1.5</v>
      </c>
      <c r="G11" s="745"/>
      <c r="H11" s="745"/>
      <c r="I11" s="745"/>
      <c r="J11" s="745"/>
      <c r="K11" s="745"/>
      <c r="L11" s="746">
        <v>1485</v>
      </c>
      <c r="N11" s="109">
        <v>1.7</v>
      </c>
    </row>
    <row r="12" spans="1:15" ht="15" x14ac:dyDescent="0.2">
      <c r="A12" s="459" t="s">
        <v>45</v>
      </c>
      <c r="B12" s="747" t="s">
        <v>80</v>
      </c>
      <c r="C12" s="959" t="s">
        <v>5</v>
      </c>
      <c r="D12" s="952">
        <v>1378</v>
      </c>
      <c r="E12" s="748">
        <v>1.4</v>
      </c>
      <c r="F12" s="745">
        <v>1.5</v>
      </c>
      <c r="G12" s="745"/>
      <c r="H12" s="745"/>
      <c r="I12" s="745"/>
      <c r="J12" s="745"/>
      <c r="K12" s="745"/>
      <c r="L12" s="746">
        <v>2893.8</v>
      </c>
      <c r="N12" s="109">
        <v>1.9</v>
      </c>
    </row>
    <row r="13" spans="1:15" ht="15" x14ac:dyDescent="0.2">
      <c r="A13" s="459" t="s">
        <v>111</v>
      </c>
      <c r="B13" s="747" t="s">
        <v>81</v>
      </c>
      <c r="C13" s="959" t="s">
        <v>5</v>
      </c>
      <c r="D13" s="952">
        <v>0</v>
      </c>
      <c r="E13" s="748">
        <v>1.6</v>
      </c>
      <c r="F13" s="745">
        <v>1.5</v>
      </c>
      <c r="G13" s="745"/>
      <c r="H13" s="745"/>
      <c r="I13" s="745"/>
      <c r="J13" s="745"/>
      <c r="K13" s="745"/>
      <c r="L13" s="746">
        <v>0</v>
      </c>
      <c r="N13" s="109">
        <v>2.1</v>
      </c>
    </row>
    <row r="14" spans="1:15" ht="15" x14ac:dyDescent="0.2">
      <c r="A14" s="459" t="s">
        <v>240</v>
      </c>
      <c r="B14" s="743" t="s">
        <v>82</v>
      </c>
      <c r="C14" s="744" t="s">
        <v>5</v>
      </c>
      <c r="D14" s="952">
        <v>0</v>
      </c>
      <c r="E14" s="952">
        <v>1.8</v>
      </c>
      <c r="F14" s="745">
        <v>1.5</v>
      </c>
      <c r="G14" s="745"/>
      <c r="H14" s="745"/>
      <c r="I14" s="745"/>
      <c r="J14" s="745"/>
      <c r="K14" s="745"/>
      <c r="L14" s="746">
        <v>0</v>
      </c>
      <c r="N14" s="109">
        <v>2.5</v>
      </c>
    </row>
    <row r="15" spans="1:15" ht="15" x14ac:dyDescent="0.2">
      <c r="A15" s="459" t="s">
        <v>432</v>
      </c>
      <c r="B15" s="749" t="s">
        <v>83</v>
      </c>
      <c r="C15" s="750" t="s">
        <v>5</v>
      </c>
      <c r="D15" s="952">
        <v>0</v>
      </c>
      <c r="E15" s="745">
        <v>2.1</v>
      </c>
      <c r="F15" s="745">
        <v>1.5</v>
      </c>
      <c r="G15" s="745"/>
      <c r="H15" s="745"/>
      <c r="I15" s="745"/>
      <c r="J15" s="745"/>
      <c r="K15" s="745"/>
      <c r="L15" s="746">
        <v>0</v>
      </c>
      <c r="N15" s="109">
        <v>2.8</v>
      </c>
    </row>
    <row r="16" spans="1:15" ht="15" x14ac:dyDescent="0.2">
      <c r="A16" s="459" t="s">
        <v>433</v>
      </c>
      <c r="B16" s="749" t="s">
        <v>84</v>
      </c>
      <c r="C16" s="750" t="s">
        <v>78</v>
      </c>
      <c r="D16" s="952">
        <v>102</v>
      </c>
      <c r="E16" s="745">
        <v>1.9</v>
      </c>
      <c r="F16" s="745">
        <v>1.5</v>
      </c>
      <c r="G16" s="745">
        <v>1.9</v>
      </c>
      <c r="H16" s="745"/>
      <c r="I16" s="745"/>
      <c r="J16" s="745"/>
      <c r="K16" s="745"/>
      <c r="L16" s="746">
        <v>552.33000000000004</v>
      </c>
      <c r="N16" s="109">
        <v>1.5</v>
      </c>
    </row>
    <row r="17" spans="1:15" ht="15" x14ac:dyDescent="0.2">
      <c r="A17" s="459" t="s">
        <v>434</v>
      </c>
      <c r="B17" s="749" t="s">
        <v>488</v>
      </c>
      <c r="C17" s="750" t="s">
        <v>78</v>
      </c>
      <c r="D17" s="952">
        <v>9</v>
      </c>
      <c r="E17" s="745">
        <v>2.7</v>
      </c>
      <c r="F17" s="745">
        <v>1.5</v>
      </c>
      <c r="G17" s="745">
        <v>2.9</v>
      </c>
      <c r="H17" s="745"/>
      <c r="I17" s="745"/>
      <c r="J17" s="745"/>
      <c r="K17" s="745"/>
      <c r="L17" s="746">
        <v>105.705</v>
      </c>
      <c r="N17" s="109">
        <v>1.5</v>
      </c>
      <c r="O17" s="109">
        <v>1</v>
      </c>
    </row>
    <row r="18" spans="1:15" ht="15" x14ac:dyDescent="0.2">
      <c r="A18" s="459" t="s">
        <v>435</v>
      </c>
      <c r="B18" s="749" t="s">
        <v>245</v>
      </c>
      <c r="C18" s="750" t="s">
        <v>78</v>
      </c>
      <c r="D18" s="952">
        <v>0</v>
      </c>
      <c r="E18" s="745">
        <v>2.5</v>
      </c>
      <c r="F18" s="745">
        <v>1.5</v>
      </c>
      <c r="G18" s="745">
        <v>2.9</v>
      </c>
      <c r="H18" s="745"/>
      <c r="I18" s="745"/>
      <c r="J18" s="745"/>
      <c r="K18" s="745"/>
      <c r="L18" s="746">
        <v>0</v>
      </c>
      <c r="N18" s="109">
        <v>1.3</v>
      </c>
      <c r="O18" s="109">
        <v>1</v>
      </c>
    </row>
    <row r="19" spans="1:15" ht="15" x14ac:dyDescent="0.2">
      <c r="A19" s="459" t="s">
        <v>436</v>
      </c>
      <c r="B19" s="749" t="s">
        <v>181</v>
      </c>
      <c r="C19" s="750" t="s">
        <v>78</v>
      </c>
      <c r="D19" s="952">
        <v>13</v>
      </c>
      <c r="E19" s="745">
        <v>2.2999999999999998</v>
      </c>
      <c r="F19" s="745">
        <v>1.5</v>
      </c>
      <c r="G19" s="745">
        <v>2.9</v>
      </c>
      <c r="H19" s="745"/>
      <c r="I19" s="745"/>
      <c r="J19" s="745"/>
      <c r="K19" s="745"/>
      <c r="L19" s="746">
        <v>130.065</v>
      </c>
      <c r="N19" s="109">
        <v>1</v>
      </c>
      <c r="O19" s="109">
        <v>1</v>
      </c>
    </row>
    <row r="20" spans="1:15" ht="15" x14ac:dyDescent="0.2">
      <c r="A20" s="459" t="s">
        <v>437</v>
      </c>
      <c r="B20" s="749" t="s">
        <v>182</v>
      </c>
      <c r="C20" s="750" t="s">
        <v>78</v>
      </c>
      <c r="D20" s="952">
        <v>11</v>
      </c>
      <c r="E20" s="745">
        <v>2</v>
      </c>
      <c r="F20" s="745">
        <v>1.5</v>
      </c>
      <c r="G20" s="745">
        <v>2.9</v>
      </c>
      <c r="H20" s="745"/>
      <c r="I20" s="745"/>
      <c r="J20" s="745"/>
      <c r="K20" s="745"/>
      <c r="L20" s="746">
        <v>95.7</v>
      </c>
      <c r="N20" s="109">
        <v>0.8</v>
      </c>
      <c r="O20" s="109">
        <v>1</v>
      </c>
    </row>
    <row r="21" spans="1:15" ht="15" x14ac:dyDescent="0.2">
      <c r="A21" s="459" t="s">
        <v>438</v>
      </c>
      <c r="B21" s="749" t="s">
        <v>176</v>
      </c>
      <c r="C21" s="750" t="s">
        <v>78</v>
      </c>
      <c r="D21" s="952">
        <v>0</v>
      </c>
      <c r="E21" s="745">
        <v>2.5</v>
      </c>
      <c r="F21" s="745">
        <v>1.5</v>
      </c>
      <c r="G21" s="745">
        <v>2.9</v>
      </c>
      <c r="H21" s="745"/>
      <c r="I21" s="745"/>
      <c r="J21" s="745"/>
      <c r="K21" s="745"/>
      <c r="L21" s="746">
        <v>0</v>
      </c>
      <c r="N21" s="109">
        <v>1.5</v>
      </c>
      <c r="O21" s="109">
        <v>1</v>
      </c>
    </row>
    <row r="22" spans="1:15" ht="15" x14ac:dyDescent="0.2">
      <c r="A22" s="459" t="s">
        <v>487</v>
      </c>
      <c r="B22" s="743" t="s">
        <v>77</v>
      </c>
      <c r="C22" s="744" t="s">
        <v>78</v>
      </c>
      <c r="D22" s="952">
        <v>0</v>
      </c>
      <c r="E22" s="745">
        <v>2.2000000000000002</v>
      </c>
      <c r="F22" s="745">
        <v>0.35</v>
      </c>
      <c r="G22" s="745">
        <v>4.8</v>
      </c>
      <c r="H22" s="745"/>
      <c r="I22" s="745"/>
      <c r="J22" s="745"/>
      <c r="K22" s="745"/>
      <c r="L22" s="746">
        <v>0</v>
      </c>
      <c r="N22" s="109">
        <v>0.35</v>
      </c>
    </row>
    <row r="23" spans="1:15" ht="28.5" customHeight="1" x14ac:dyDescent="0.2">
      <c r="A23" s="751" t="s">
        <v>79</v>
      </c>
      <c r="B23" s="1046" t="s">
        <v>469</v>
      </c>
      <c r="C23" s="1047"/>
      <c r="D23" s="1047"/>
      <c r="E23" s="1047"/>
      <c r="F23" s="1047"/>
      <c r="G23" s="1047"/>
      <c r="H23" s="1047"/>
      <c r="I23" s="1048"/>
      <c r="J23" s="960" t="s">
        <v>31</v>
      </c>
      <c r="K23" s="1044">
        <v>1102.645</v>
      </c>
      <c r="L23" s="1045"/>
    </row>
    <row r="24" spans="1:15" ht="15" x14ac:dyDescent="0.2">
      <c r="A24" s="752" t="s">
        <v>24</v>
      </c>
      <c r="B24" s="743" t="s">
        <v>75</v>
      </c>
      <c r="C24" s="744" t="s">
        <v>5</v>
      </c>
      <c r="D24" s="952">
        <v>824</v>
      </c>
      <c r="E24" s="745">
        <v>1</v>
      </c>
      <c r="F24" s="745">
        <v>0</v>
      </c>
      <c r="G24" s="745"/>
      <c r="H24" s="745"/>
      <c r="I24" s="745"/>
      <c r="J24" s="745"/>
      <c r="K24" s="745"/>
      <c r="L24" s="746">
        <v>0</v>
      </c>
    </row>
    <row r="25" spans="1:15" ht="15" x14ac:dyDescent="0.2">
      <c r="A25" s="752" t="s">
        <v>32</v>
      </c>
      <c r="B25" s="743" t="s">
        <v>76</v>
      </c>
      <c r="C25" s="744" t="s">
        <v>5</v>
      </c>
      <c r="D25" s="952">
        <v>825</v>
      </c>
      <c r="E25" s="745">
        <v>1.2</v>
      </c>
      <c r="F25" s="745">
        <v>0.2</v>
      </c>
      <c r="G25" s="745"/>
      <c r="H25" s="745"/>
      <c r="I25" s="745"/>
      <c r="J25" s="745"/>
      <c r="K25" s="745"/>
      <c r="L25" s="746">
        <v>198</v>
      </c>
    </row>
    <row r="26" spans="1:15" ht="15" x14ac:dyDescent="0.2">
      <c r="A26" s="752" t="s">
        <v>33</v>
      </c>
      <c r="B26" s="743" t="s">
        <v>80</v>
      </c>
      <c r="C26" s="744" t="s">
        <v>5</v>
      </c>
      <c r="D26" s="952">
        <v>1378</v>
      </c>
      <c r="E26" s="745">
        <v>1.4</v>
      </c>
      <c r="F26" s="745">
        <v>0.4</v>
      </c>
      <c r="G26" s="745"/>
      <c r="H26" s="745"/>
      <c r="I26" s="745"/>
      <c r="J26" s="745"/>
      <c r="K26" s="745"/>
      <c r="L26" s="746">
        <v>771.68</v>
      </c>
    </row>
    <row r="27" spans="1:15" ht="15" x14ac:dyDescent="0.2">
      <c r="A27" s="752" t="s">
        <v>34</v>
      </c>
      <c r="B27" s="743" t="s">
        <v>81</v>
      </c>
      <c r="C27" s="744" t="s">
        <v>5</v>
      </c>
      <c r="D27" s="952">
        <v>0</v>
      </c>
      <c r="E27" s="745">
        <v>1.6</v>
      </c>
      <c r="F27" s="745">
        <v>0.6</v>
      </c>
      <c r="G27" s="745"/>
      <c r="H27" s="745"/>
      <c r="I27" s="745"/>
      <c r="J27" s="745"/>
      <c r="K27" s="745"/>
      <c r="L27" s="746">
        <v>0</v>
      </c>
    </row>
    <row r="28" spans="1:15" ht="15" x14ac:dyDescent="0.2">
      <c r="A28" s="752" t="s">
        <v>37</v>
      </c>
      <c r="B28" s="743" t="s">
        <v>82</v>
      </c>
      <c r="C28" s="744" t="s">
        <v>5</v>
      </c>
      <c r="D28" s="952">
        <v>0</v>
      </c>
      <c r="E28" s="745">
        <v>1.8</v>
      </c>
      <c r="F28" s="745">
        <v>1</v>
      </c>
      <c r="G28" s="745"/>
      <c r="H28" s="745"/>
      <c r="I28" s="745"/>
      <c r="J28" s="745"/>
      <c r="K28" s="745"/>
      <c r="L28" s="746">
        <v>0</v>
      </c>
    </row>
    <row r="29" spans="1:15" ht="15" x14ac:dyDescent="0.2">
      <c r="A29" s="752" t="s">
        <v>46</v>
      </c>
      <c r="B29" s="743" t="s">
        <v>83</v>
      </c>
      <c r="C29" s="744" t="s">
        <v>5</v>
      </c>
      <c r="D29" s="952">
        <v>0</v>
      </c>
      <c r="E29" s="745">
        <v>2.1</v>
      </c>
      <c r="F29" s="745">
        <v>1.3</v>
      </c>
      <c r="G29" s="745"/>
      <c r="H29" s="745"/>
      <c r="I29" s="745"/>
      <c r="J29" s="745"/>
      <c r="K29" s="745"/>
      <c r="L29" s="746">
        <v>0</v>
      </c>
    </row>
    <row r="30" spans="1:15" ht="15" x14ac:dyDescent="0.2">
      <c r="A30" s="752" t="s">
        <v>246</v>
      </c>
      <c r="B30" s="743" t="s">
        <v>84</v>
      </c>
      <c r="C30" s="744" t="s">
        <v>78</v>
      </c>
      <c r="D30" s="952">
        <v>102</v>
      </c>
      <c r="E30" s="745">
        <v>1.9</v>
      </c>
      <c r="F30" s="745">
        <v>0</v>
      </c>
      <c r="G30" s="745"/>
      <c r="H30" s="745"/>
      <c r="I30" s="745"/>
      <c r="J30" s="745"/>
      <c r="K30" s="745"/>
      <c r="L30" s="746">
        <v>0</v>
      </c>
    </row>
    <row r="31" spans="1:15" ht="15" x14ac:dyDescent="0.2">
      <c r="A31" s="752" t="s">
        <v>247</v>
      </c>
      <c r="B31" s="743" t="s">
        <v>488</v>
      </c>
      <c r="C31" s="744" t="s">
        <v>78</v>
      </c>
      <c r="D31" s="952">
        <v>9</v>
      </c>
      <c r="E31" s="745">
        <v>2.7</v>
      </c>
      <c r="F31" s="745">
        <v>1</v>
      </c>
      <c r="G31" s="745">
        <v>2.9</v>
      </c>
      <c r="H31" s="745"/>
      <c r="I31" s="745"/>
      <c r="J31" s="745"/>
      <c r="K31" s="745"/>
      <c r="L31" s="746">
        <v>70.47</v>
      </c>
    </row>
    <row r="32" spans="1:15" ht="15" x14ac:dyDescent="0.2">
      <c r="A32" s="752" t="s">
        <v>256</v>
      </c>
      <c r="B32" s="743" t="s">
        <v>245</v>
      </c>
      <c r="C32" s="744" t="s">
        <v>78</v>
      </c>
      <c r="D32" s="952">
        <v>0</v>
      </c>
      <c r="E32" s="745">
        <v>2.5</v>
      </c>
      <c r="F32" s="745">
        <v>0.8</v>
      </c>
      <c r="G32" s="745">
        <v>2.9</v>
      </c>
      <c r="H32" s="745"/>
      <c r="I32" s="745"/>
      <c r="J32" s="745"/>
      <c r="K32" s="745"/>
      <c r="L32" s="746">
        <v>0</v>
      </c>
    </row>
    <row r="33" spans="1:12" ht="15" x14ac:dyDescent="0.2">
      <c r="A33" s="752" t="s">
        <v>257</v>
      </c>
      <c r="B33" s="743" t="s">
        <v>181</v>
      </c>
      <c r="C33" s="744" t="s">
        <v>78</v>
      </c>
      <c r="D33" s="952">
        <v>13</v>
      </c>
      <c r="E33" s="745">
        <v>2.2999999999999998</v>
      </c>
      <c r="F33" s="745">
        <v>0.5</v>
      </c>
      <c r="G33" s="745">
        <v>2.9</v>
      </c>
      <c r="H33" s="745"/>
      <c r="I33" s="745"/>
      <c r="J33" s="745"/>
      <c r="K33" s="745"/>
      <c r="L33" s="746">
        <v>43.354999999999997</v>
      </c>
    </row>
    <row r="34" spans="1:12" ht="15" x14ac:dyDescent="0.2">
      <c r="A34" s="752" t="s">
        <v>439</v>
      </c>
      <c r="B34" s="743" t="s">
        <v>182</v>
      </c>
      <c r="C34" s="744" t="s">
        <v>78</v>
      </c>
      <c r="D34" s="952">
        <v>11</v>
      </c>
      <c r="E34" s="745">
        <v>2</v>
      </c>
      <c r="F34" s="745">
        <v>0.3</v>
      </c>
      <c r="G34" s="745">
        <v>2.9</v>
      </c>
      <c r="H34" s="745"/>
      <c r="I34" s="745"/>
      <c r="J34" s="745"/>
      <c r="K34" s="745"/>
      <c r="L34" s="746">
        <v>19.14</v>
      </c>
    </row>
    <row r="35" spans="1:12" ht="15" x14ac:dyDescent="0.2">
      <c r="A35" s="752" t="s">
        <v>440</v>
      </c>
      <c r="B35" s="743" t="s">
        <v>176</v>
      </c>
      <c r="C35" s="744" t="s">
        <v>78</v>
      </c>
      <c r="D35" s="952">
        <v>0</v>
      </c>
      <c r="E35" s="745">
        <v>2.5</v>
      </c>
      <c r="F35" s="745">
        <v>1</v>
      </c>
      <c r="G35" s="745">
        <v>2.9</v>
      </c>
      <c r="H35" s="745"/>
      <c r="I35" s="745"/>
      <c r="J35" s="745"/>
      <c r="K35" s="745"/>
      <c r="L35" s="746">
        <v>0</v>
      </c>
    </row>
    <row r="36" spans="1:12" ht="15" x14ac:dyDescent="0.2">
      <c r="A36" s="752" t="s">
        <v>489</v>
      </c>
      <c r="B36" s="743" t="s">
        <v>77</v>
      </c>
      <c r="C36" s="744" t="s">
        <v>78</v>
      </c>
      <c r="D36" s="952">
        <v>0</v>
      </c>
      <c r="E36" s="745">
        <v>2.2000000000000002</v>
      </c>
      <c r="F36" s="745">
        <v>0</v>
      </c>
      <c r="G36" s="745">
        <v>4.8</v>
      </c>
      <c r="H36" s="745"/>
      <c r="I36" s="745"/>
      <c r="J36" s="745"/>
      <c r="K36" s="745"/>
      <c r="L36" s="746">
        <v>0</v>
      </c>
    </row>
    <row r="37" spans="1:12" ht="28.5" customHeight="1" x14ac:dyDescent="0.2">
      <c r="A37" s="961" t="s">
        <v>85</v>
      </c>
      <c r="B37" s="1049" t="s">
        <v>302</v>
      </c>
      <c r="C37" s="1050"/>
      <c r="D37" s="1050"/>
      <c r="E37" s="1050"/>
      <c r="F37" s="1050"/>
      <c r="G37" s="1051"/>
      <c r="H37" s="956" t="s">
        <v>283</v>
      </c>
      <c r="I37" s="956"/>
      <c r="J37" s="753" t="s">
        <v>284</v>
      </c>
      <c r="K37" s="960" t="s">
        <v>6</v>
      </c>
      <c r="L37" s="957">
        <v>893.49</v>
      </c>
    </row>
    <row r="38" spans="1:12" ht="15" x14ac:dyDescent="0.2">
      <c r="A38" s="694" t="s">
        <v>25</v>
      </c>
      <c r="B38" s="754" t="s">
        <v>76</v>
      </c>
      <c r="C38" s="755" t="s">
        <v>5</v>
      </c>
      <c r="D38" s="745">
        <v>825</v>
      </c>
      <c r="E38" s="745"/>
      <c r="F38" s="745">
        <v>1.7</v>
      </c>
      <c r="G38" s="745"/>
      <c r="H38" s="745">
        <v>2</v>
      </c>
      <c r="I38" s="756"/>
      <c r="J38" s="745">
        <v>9</v>
      </c>
      <c r="K38" s="756"/>
      <c r="L38" s="757">
        <v>311.67</v>
      </c>
    </row>
    <row r="39" spans="1:12" ht="15" x14ac:dyDescent="0.2">
      <c r="A39" s="694" t="s">
        <v>26</v>
      </c>
      <c r="B39" s="754" t="s">
        <v>80</v>
      </c>
      <c r="C39" s="755" t="s">
        <v>5</v>
      </c>
      <c r="D39" s="745">
        <v>1378</v>
      </c>
      <c r="E39" s="745"/>
      <c r="F39" s="745">
        <v>1.9</v>
      </c>
      <c r="G39" s="745"/>
      <c r="H39" s="745">
        <v>2</v>
      </c>
      <c r="I39" s="756"/>
      <c r="J39" s="745">
        <v>9</v>
      </c>
      <c r="K39" s="756"/>
      <c r="L39" s="757">
        <v>581.82000000000005</v>
      </c>
    </row>
    <row r="40" spans="1:12" ht="15" x14ac:dyDescent="0.2">
      <c r="A40" s="694" t="s">
        <v>27</v>
      </c>
      <c r="B40" s="749" t="s">
        <v>81</v>
      </c>
      <c r="C40" s="755" t="s">
        <v>5</v>
      </c>
      <c r="D40" s="745">
        <v>0</v>
      </c>
      <c r="E40" s="745"/>
      <c r="F40" s="745">
        <v>2.1</v>
      </c>
      <c r="G40" s="745"/>
      <c r="H40" s="745">
        <v>2</v>
      </c>
      <c r="I40" s="756"/>
      <c r="J40" s="745">
        <v>9</v>
      </c>
      <c r="K40" s="756"/>
      <c r="L40" s="757">
        <v>0</v>
      </c>
    </row>
    <row r="41" spans="1:12" ht="15" x14ac:dyDescent="0.2">
      <c r="A41" s="694" t="s">
        <v>28</v>
      </c>
      <c r="B41" s="749" t="s">
        <v>82</v>
      </c>
      <c r="C41" s="750" t="s">
        <v>5</v>
      </c>
      <c r="D41" s="745">
        <v>0</v>
      </c>
      <c r="E41" s="745"/>
      <c r="F41" s="745">
        <v>2.5</v>
      </c>
      <c r="G41" s="745"/>
      <c r="H41" s="745">
        <v>2</v>
      </c>
      <c r="I41" s="756"/>
      <c r="J41" s="745">
        <v>9</v>
      </c>
      <c r="K41" s="756"/>
      <c r="L41" s="757">
        <v>0</v>
      </c>
    </row>
    <row r="42" spans="1:12" ht="15" x14ac:dyDescent="0.2">
      <c r="A42" s="694" t="s">
        <v>29</v>
      </c>
      <c r="B42" s="749" t="s">
        <v>83</v>
      </c>
      <c r="C42" s="750" t="s">
        <v>5</v>
      </c>
      <c r="D42" s="745">
        <v>0</v>
      </c>
      <c r="E42" s="745"/>
      <c r="F42" s="745">
        <v>2.8</v>
      </c>
      <c r="G42" s="745"/>
      <c r="H42" s="745">
        <v>2</v>
      </c>
      <c r="I42" s="756"/>
      <c r="J42" s="745">
        <v>9</v>
      </c>
      <c r="K42" s="756"/>
      <c r="L42" s="757">
        <v>0</v>
      </c>
    </row>
    <row r="43" spans="1:12" ht="28.5" customHeight="1" x14ac:dyDescent="0.2">
      <c r="A43" s="758" t="s">
        <v>86</v>
      </c>
      <c r="B43" s="1034" t="s">
        <v>428</v>
      </c>
      <c r="C43" s="1035"/>
      <c r="D43" s="1035"/>
      <c r="E43" s="1035"/>
      <c r="F43" s="1035"/>
      <c r="G43" s="1035"/>
      <c r="H43" s="1035"/>
      <c r="I43" s="1036"/>
      <c r="J43" s="759" t="s">
        <v>31</v>
      </c>
      <c r="K43" s="1037">
        <v>374.32</v>
      </c>
      <c r="L43" s="1038"/>
    </row>
    <row r="44" spans="1:12" ht="15" x14ac:dyDescent="0.2">
      <c r="A44" s="694" t="s">
        <v>166</v>
      </c>
      <c r="B44" s="754" t="s">
        <v>75</v>
      </c>
      <c r="C44" s="755" t="s">
        <v>5</v>
      </c>
      <c r="D44" s="760">
        <v>824</v>
      </c>
      <c r="E44" s="760">
        <v>1</v>
      </c>
      <c r="F44" s="760">
        <v>0.1</v>
      </c>
      <c r="G44" s="760"/>
      <c r="H44" s="760"/>
      <c r="I44" s="756"/>
      <c r="J44" s="760"/>
      <c r="K44" s="760"/>
      <c r="L44" s="761">
        <v>82.4</v>
      </c>
    </row>
    <row r="45" spans="1:12" ht="15" x14ac:dyDescent="0.2">
      <c r="A45" s="694" t="s">
        <v>167</v>
      </c>
      <c r="B45" s="754" t="s">
        <v>76</v>
      </c>
      <c r="C45" s="755" t="s">
        <v>5</v>
      </c>
      <c r="D45" s="760">
        <v>825</v>
      </c>
      <c r="E45" s="760">
        <v>1.2</v>
      </c>
      <c r="F45" s="760">
        <v>0.1</v>
      </c>
      <c r="G45" s="760"/>
      <c r="H45" s="760"/>
      <c r="I45" s="756"/>
      <c r="J45" s="760"/>
      <c r="K45" s="760"/>
      <c r="L45" s="761">
        <v>99</v>
      </c>
    </row>
    <row r="46" spans="1:12" ht="15" x14ac:dyDescent="0.2">
      <c r="A46" s="694" t="s">
        <v>168</v>
      </c>
      <c r="B46" s="754" t="s">
        <v>80</v>
      </c>
      <c r="C46" s="755" t="s">
        <v>5</v>
      </c>
      <c r="D46" s="760">
        <v>1378</v>
      </c>
      <c r="E46" s="760">
        <v>1.4</v>
      </c>
      <c r="F46" s="760">
        <v>0.1</v>
      </c>
      <c r="G46" s="760"/>
      <c r="H46" s="760"/>
      <c r="I46" s="756"/>
      <c r="J46" s="760"/>
      <c r="K46" s="760"/>
      <c r="L46" s="761">
        <v>192.92</v>
      </c>
    </row>
    <row r="47" spans="1:12" ht="15" x14ac:dyDescent="0.2">
      <c r="A47" s="694" t="s">
        <v>169</v>
      </c>
      <c r="B47" s="754" t="s">
        <v>81</v>
      </c>
      <c r="C47" s="755" t="s">
        <v>5</v>
      </c>
      <c r="D47" s="760">
        <v>0</v>
      </c>
      <c r="E47" s="760">
        <v>1.6</v>
      </c>
      <c r="F47" s="760">
        <v>0.1</v>
      </c>
      <c r="G47" s="745"/>
      <c r="H47" s="745"/>
      <c r="I47" s="756"/>
      <c r="J47" s="745"/>
      <c r="K47" s="745"/>
      <c r="L47" s="757">
        <v>0</v>
      </c>
    </row>
    <row r="48" spans="1:12" ht="15" x14ac:dyDescent="0.2">
      <c r="A48" s="694" t="s">
        <v>170</v>
      </c>
      <c r="B48" s="754" t="s">
        <v>82</v>
      </c>
      <c r="C48" s="755" t="s">
        <v>5</v>
      </c>
      <c r="D48" s="760">
        <v>0</v>
      </c>
      <c r="E48" s="760">
        <v>1.8</v>
      </c>
      <c r="F48" s="760">
        <v>0.1</v>
      </c>
      <c r="G48" s="745"/>
      <c r="H48" s="745"/>
      <c r="I48" s="756"/>
      <c r="J48" s="745"/>
      <c r="K48" s="745"/>
      <c r="L48" s="757">
        <v>0</v>
      </c>
    </row>
    <row r="49" spans="1:12" ht="15" x14ac:dyDescent="0.2">
      <c r="A49" s="694" t="s">
        <v>171</v>
      </c>
      <c r="B49" s="754" t="s">
        <v>83</v>
      </c>
      <c r="C49" s="755" t="s">
        <v>5</v>
      </c>
      <c r="D49" s="760">
        <v>0</v>
      </c>
      <c r="E49" s="760">
        <v>2.1</v>
      </c>
      <c r="F49" s="760">
        <v>0.1</v>
      </c>
      <c r="G49" s="745"/>
      <c r="H49" s="745"/>
      <c r="I49" s="756"/>
      <c r="J49" s="745"/>
      <c r="K49" s="745"/>
      <c r="L49" s="757">
        <v>0</v>
      </c>
    </row>
    <row r="50" spans="1:12" ht="15" x14ac:dyDescent="0.2">
      <c r="A50" s="694" t="s">
        <v>172</v>
      </c>
      <c r="B50" s="754" t="s">
        <v>84</v>
      </c>
      <c r="C50" s="755" t="s">
        <v>78</v>
      </c>
      <c r="D50" s="760">
        <v>102</v>
      </c>
      <c r="E50" s="760">
        <v>1.9</v>
      </c>
      <c r="F50" s="745"/>
      <c r="G50" s="745">
        <v>1.9</v>
      </c>
      <c r="H50" s="745"/>
      <c r="I50" s="756"/>
      <c r="J50" s="745"/>
      <c r="K50" s="756"/>
      <c r="L50" s="757">
        <v>0</v>
      </c>
    </row>
    <row r="51" spans="1:12" ht="15" x14ac:dyDescent="0.2">
      <c r="A51" s="694" t="s">
        <v>173</v>
      </c>
      <c r="B51" s="754" t="s">
        <v>488</v>
      </c>
      <c r="C51" s="755" t="s">
        <v>78</v>
      </c>
      <c r="D51" s="760">
        <v>9</v>
      </c>
      <c r="E51" s="760">
        <v>2.7</v>
      </c>
      <c r="F51" s="745"/>
      <c r="G51" s="745">
        <v>2.9</v>
      </c>
      <c r="H51" s="745"/>
      <c r="I51" s="756"/>
      <c r="J51" s="745"/>
      <c r="K51" s="756"/>
      <c r="L51" s="757">
        <v>0</v>
      </c>
    </row>
    <row r="52" spans="1:12" ht="15" x14ac:dyDescent="0.2">
      <c r="A52" s="694" t="s">
        <v>183</v>
      </c>
      <c r="B52" s="754" t="s">
        <v>245</v>
      </c>
      <c r="C52" s="755" t="s">
        <v>78</v>
      </c>
      <c r="D52" s="760">
        <v>0</v>
      </c>
      <c r="E52" s="760">
        <v>2.5</v>
      </c>
      <c r="F52" s="745"/>
      <c r="G52" s="745">
        <v>2.9</v>
      </c>
      <c r="H52" s="745"/>
      <c r="I52" s="756"/>
      <c r="J52" s="745"/>
      <c r="K52" s="756"/>
      <c r="L52" s="757">
        <v>0</v>
      </c>
    </row>
    <row r="53" spans="1:12" ht="15" x14ac:dyDescent="0.2">
      <c r="A53" s="694" t="s">
        <v>258</v>
      </c>
      <c r="B53" s="754" t="s">
        <v>181</v>
      </c>
      <c r="C53" s="755" t="s">
        <v>78</v>
      </c>
      <c r="D53" s="760">
        <v>13</v>
      </c>
      <c r="E53" s="760">
        <v>2.2999999999999998</v>
      </c>
      <c r="F53" s="745"/>
      <c r="G53" s="745">
        <v>2.9</v>
      </c>
      <c r="H53" s="745"/>
      <c r="I53" s="756"/>
      <c r="J53" s="745"/>
      <c r="K53" s="756"/>
      <c r="L53" s="757">
        <v>0</v>
      </c>
    </row>
    <row r="54" spans="1:12" ht="15" x14ac:dyDescent="0.2">
      <c r="A54" s="694" t="s">
        <v>441</v>
      </c>
      <c r="B54" s="754" t="s">
        <v>182</v>
      </c>
      <c r="C54" s="755" t="s">
        <v>78</v>
      </c>
      <c r="D54" s="760">
        <v>11</v>
      </c>
      <c r="E54" s="760">
        <v>2</v>
      </c>
      <c r="F54" s="745"/>
      <c r="G54" s="745">
        <v>2.9</v>
      </c>
      <c r="H54" s="745"/>
      <c r="I54" s="756"/>
      <c r="J54" s="745"/>
      <c r="K54" s="756"/>
      <c r="L54" s="757">
        <v>0</v>
      </c>
    </row>
    <row r="55" spans="1:12" ht="15" x14ac:dyDescent="0.2">
      <c r="A55" s="694" t="s">
        <v>442</v>
      </c>
      <c r="B55" s="754" t="s">
        <v>176</v>
      </c>
      <c r="C55" s="755" t="s">
        <v>78</v>
      </c>
      <c r="D55" s="760">
        <v>0</v>
      </c>
      <c r="E55" s="760">
        <v>2.5</v>
      </c>
      <c r="F55" s="745"/>
      <c r="G55" s="745">
        <v>2.9</v>
      </c>
      <c r="H55" s="745"/>
      <c r="I55" s="756"/>
      <c r="J55" s="745"/>
      <c r="K55" s="756"/>
      <c r="L55" s="757">
        <v>0</v>
      </c>
    </row>
    <row r="56" spans="1:12" ht="15" x14ac:dyDescent="0.2">
      <c r="A56" s="694" t="s">
        <v>492</v>
      </c>
      <c r="B56" s="754" t="s">
        <v>77</v>
      </c>
      <c r="C56" s="755" t="s">
        <v>78</v>
      </c>
      <c r="D56" s="760">
        <v>0</v>
      </c>
      <c r="E56" s="760">
        <v>2.2000000000000002</v>
      </c>
      <c r="F56" s="745"/>
      <c r="G56" s="745">
        <v>4.8</v>
      </c>
      <c r="H56" s="745"/>
      <c r="I56" s="756"/>
      <c r="J56" s="745"/>
      <c r="K56" s="756"/>
      <c r="L56" s="757">
        <v>0</v>
      </c>
    </row>
    <row r="57" spans="1:12" ht="58.5" customHeight="1" x14ac:dyDescent="0.2">
      <c r="A57" s="762" t="s">
        <v>174</v>
      </c>
      <c r="B57" s="1014" t="s">
        <v>472</v>
      </c>
      <c r="C57" s="1015"/>
      <c r="D57" s="1015"/>
      <c r="E57" s="1015"/>
      <c r="F57" s="1015"/>
      <c r="G57" s="1015"/>
      <c r="H57" s="1015"/>
      <c r="I57" s="1016"/>
      <c r="J57" s="759" t="s">
        <v>31</v>
      </c>
      <c r="K57" s="1008">
        <v>5469.1419999999998</v>
      </c>
      <c r="L57" s="1009"/>
    </row>
    <row r="58" spans="1:12" ht="28.5" customHeight="1" x14ac:dyDescent="0.2">
      <c r="A58" s="1017" t="s">
        <v>0</v>
      </c>
      <c r="B58" s="1039" t="s">
        <v>136</v>
      </c>
      <c r="C58" s="1021" t="s">
        <v>2</v>
      </c>
      <c r="D58" s="1023" t="s">
        <v>3</v>
      </c>
      <c r="E58" s="1025" t="s">
        <v>443</v>
      </c>
      <c r="F58" s="1026"/>
      <c r="G58" s="1027"/>
      <c r="H58" s="1028" t="s">
        <v>444</v>
      </c>
      <c r="I58" s="1029"/>
      <c r="J58" s="1023" t="s">
        <v>445</v>
      </c>
      <c r="K58" s="1023" t="s">
        <v>446</v>
      </c>
      <c r="L58" s="1032" t="s">
        <v>447</v>
      </c>
    </row>
    <row r="59" spans="1:12" ht="28.5" customHeight="1" x14ac:dyDescent="0.2">
      <c r="A59" s="1018"/>
      <c r="B59" s="1040"/>
      <c r="C59" s="1022"/>
      <c r="D59" s="1024"/>
      <c r="E59" s="763" t="s">
        <v>448</v>
      </c>
      <c r="F59" s="763" t="s">
        <v>449</v>
      </c>
      <c r="G59" s="763" t="s">
        <v>450</v>
      </c>
      <c r="H59" s="1030"/>
      <c r="I59" s="1031"/>
      <c r="J59" s="1024"/>
      <c r="K59" s="1024"/>
      <c r="L59" s="1033"/>
    </row>
    <row r="60" spans="1:12" ht="15" x14ac:dyDescent="0.2">
      <c r="A60" s="459" t="s">
        <v>285</v>
      </c>
      <c r="B60" s="743" t="s">
        <v>75</v>
      </c>
      <c r="C60" s="744" t="s">
        <v>5</v>
      </c>
      <c r="D60" s="952">
        <v>824</v>
      </c>
      <c r="E60" s="952"/>
      <c r="F60" s="745"/>
      <c r="G60" s="745"/>
      <c r="H60" s="696" t="s">
        <v>145</v>
      </c>
      <c r="I60" s="764">
        <v>0.12565999999999999</v>
      </c>
      <c r="J60" s="765">
        <v>103.54300000000001</v>
      </c>
      <c r="K60" s="745">
        <v>1236</v>
      </c>
      <c r="L60" s="746">
        <v>1132.4570000000001</v>
      </c>
    </row>
    <row r="61" spans="1:12" ht="15" x14ac:dyDescent="0.2">
      <c r="A61" s="459" t="s">
        <v>286</v>
      </c>
      <c r="B61" s="743" t="s">
        <v>76</v>
      </c>
      <c r="C61" s="744" t="s">
        <v>5</v>
      </c>
      <c r="D61" s="952">
        <v>825</v>
      </c>
      <c r="E61" s="745"/>
      <c r="F61" s="745"/>
      <c r="G61" s="745"/>
      <c r="H61" s="696" t="s">
        <v>145</v>
      </c>
      <c r="I61" s="764">
        <v>0.28273999999999999</v>
      </c>
      <c r="J61" s="765">
        <v>233.26</v>
      </c>
      <c r="K61" s="745">
        <v>1485</v>
      </c>
      <c r="L61" s="746">
        <v>1251.74</v>
      </c>
    </row>
    <row r="62" spans="1:12" ht="15" x14ac:dyDescent="0.2">
      <c r="A62" s="459" t="s">
        <v>287</v>
      </c>
      <c r="B62" s="743" t="s">
        <v>80</v>
      </c>
      <c r="C62" s="744" t="s">
        <v>5</v>
      </c>
      <c r="D62" s="952">
        <v>1378</v>
      </c>
      <c r="E62" s="748"/>
      <c r="F62" s="745"/>
      <c r="G62" s="745"/>
      <c r="H62" s="696" t="s">
        <v>145</v>
      </c>
      <c r="I62" s="764">
        <v>0.50266</v>
      </c>
      <c r="J62" s="765">
        <v>692.66499999999996</v>
      </c>
      <c r="K62" s="745">
        <v>2893.8</v>
      </c>
      <c r="L62" s="746">
        <v>2201.1350000000002</v>
      </c>
    </row>
    <row r="63" spans="1:12" ht="15" x14ac:dyDescent="0.2">
      <c r="A63" s="459" t="s">
        <v>288</v>
      </c>
      <c r="B63" s="743" t="s">
        <v>81</v>
      </c>
      <c r="C63" s="744" t="s">
        <v>5</v>
      </c>
      <c r="D63" s="952">
        <v>0</v>
      </c>
      <c r="E63" s="748"/>
      <c r="F63" s="745"/>
      <c r="G63" s="745"/>
      <c r="H63" s="696" t="s">
        <v>145</v>
      </c>
      <c r="I63" s="764">
        <v>0.78539999999999999</v>
      </c>
      <c r="J63" s="765">
        <v>0</v>
      </c>
      <c r="K63" s="745">
        <v>0</v>
      </c>
      <c r="L63" s="746">
        <v>0</v>
      </c>
    </row>
    <row r="64" spans="1:12" ht="15" x14ac:dyDescent="0.2">
      <c r="A64" s="459" t="s">
        <v>289</v>
      </c>
      <c r="B64" s="743" t="s">
        <v>82</v>
      </c>
      <c r="C64" s="744" t="s">
        <v>5</v>
      </c>
      <c r="D64" s="952">
        <v>0</v>
      </c>
      <c r="E64" s="952"/>
      <c r="F64" s="745"/>
      <c r="G64" s="745"/>
      <c r="H64" s="696" t="s">
        <v>145</v>
      </c>
      <c r="I64" s="764">
        <v>1.1309800000000001</v>
      </c>
      <c r="J64" s="765">
        <v>0</v>
      </c>
      <c r="K64" s="745">
        <v>0</v>
      </c>
      <c r="L64" s="746">
        <v>0</v>
      </c>
    </row>
    <row r="65" spans="1:12" ht="15" x14ac:dyDescent="0.2">
      <c r="A65" s="459" t="s">
        <v>290</v>
      </c>
      <c r="B65" s="743" t="s">
        <v>83</v>
      </c>
      <c r="C65" s="744" t="s">
        <v>5</v>
      </c>
      <c r="D65" s="952">
        <v>0</v>
      </c>
      <c r="E65" s="745"/>
      <c r="F65" s="745"/>
      <c r="G65" s="745"/>
      <c r="H65" s="696" t="s">
        <v>145</v>
      </c>
      <c r="I65" s="764">
        <v>1.76715</v>
      </c>
      <c r="J65" s="765">
        <v>0</v>
      </c>
      <c r="K65" s="745">
        <v>0</v>
      </c>
      <c r="L65" s="746">
        <v>0</v>
      </c>
    </row>
    <row r="66" spans="1:12" ht="15" x14ac:dyDescent="0.2">
      <c r="A66" s="459" t="s">
        <v>291</v>
      </c>
      <c r="B66" s="743" t="s">
        <v>84</v>
      </c>
      <c r="C66" s="744" t="s">
        <v>78</v>
      </c>
      <c r="D66" s="952">
        <v>102</v>
      </c>
      <c r="E66" s="696">
        <v>1.4</v>
      </c>
      <c r="F66" s="696">
        <v>1.5</v>
      </c>
      <c r="G66" s="696">
        <v>1.4</v>
      </c>
      <c r="H66" s="745"/>
      <c r="I66" s="745"/>
      <c r="J66" s="765">
        <v>0</v>
      </c>
      <c r="K66" s="745">
        <v>552.33000000000004</v>
      </c>
      <c r="L66" s="746">
        <v>552.33000000000004</v>
      </c>
    </row>
    <row r="67" spans="1:12" ht="15" x14ac:dyDescent="0.2">
      <c r="A67" s="459" t="s">
        <v>292</v>
      </c>
      <c r="B67" s="743" t="s">
        <v>488</v>
      </c>
      <c r="C67" s="744" t="s">
        <v>78</v>
      </c>
      <c r="D67" s="952">
        <v>9</v>
      </c>
      <c r="E67" s="766">
        <v>1.7</v>
      </c>
      <c r="F67" s="696">
        <v>1.5</v>
      </c>
      <c r="G67" s="766">
        <v>1.9</v>
      </c>
      <c r="H67" s="745"/>
      <c r="I67" s="745"/>
      <c r="J67" s="765">
        <v>0</v>
      </c>
      <c r="K67" s="745">
        <v>105.71</v>
      </c>
      <c r="L67" s="746">
        <v>105.71</v>
      </c>
    </row>
    <row r="68" spans="1:12" ht="15" x14ac:dyDescent="0.2">
      <c r="A68" s="459" t="s">
        <v>293</v>
      </c>
      <c r="B68" s="743" t="s">
        <v>245</v>
      </c>
      <c r="C68" s="744" t="s">
        <v>78</v>
      </c>
      <c r="D68" s="952">
        <v>0</v>
      </c>
      <c r="E68" s="766">
        <v>1.5</v>
      </c>
      <c r="F68" s="696">
        <v>1.5</v>
      </c>
      <c r="G68" s="766">
        <v>1.9</v>
      </c>
      <c r="H68" s="745"/>
      <c r="I68" s="745"/>
      <c r="J68" s="765">
        <v>0</v>
      </c>
      <c r="K68" s="745">
        <v>0</v>
      </c>
      <c r="L68" s="746">
        <v>0</v>
      </c>
    </row>
    <row r="69" spans="1:12" ht="15" x14ac:dyDescent="0.2">
      <c r="A69" s="459" t="s">
        <v>294</v>
      </c>
      <c r="B69" s="743" t="s">
        <v>181</v>
      </c>
      <c r="C69" s="744" t="s">
        <v>78</v>
      </c>
      <c r="D69" s="952">
        <v>13</v>
      </c>
      <c r="E69" s="766">
        <v>1.4</v>
      </c>
      <c r="F69" s="696">
        <v>1.5</v>
      </c>
      <c r="G69" s="766">
        <v>1.9</v>
      </c>
      <c r="H69" s="745"/>
      <c r="I69" s="745"/>
      <c r="J69" s="765">
        <v>0</v>
      </c>
      <c r="K69" s="745">
        <v>130.07</v>
      </c>
      <c r="L69" s="746">
        <v>130.07</v>
      </c>
    </row>
    <row r="70" spans="1:12" ht="15" x14ac:dyDescent="0.2">
      <c r="A70" s="459" t="s">
        <v>451</v>
      </c>
      <c r="B70" s="743" t="s">
        <v>182</v>
      </c>
      <c r="C70" s="744" t="s">
        <v>78</v>
      </c>
      <c r="D70" s="952">
        <v>11</v>
      </c>
      <c r="E70" s="766">
        <v>1.3</v>
      </c>
      <c r="F70" s="696">
        <v>1.5</v>
      </c>
      <c r="G70" s="766">
        <v>1.9</v>
      </c>
      <c r="H70" s="745"/>
      <c r="I70" s="745"/>
      <c r="J70" s="765">
        <v>0</v>
      </c>
      <c r="K70" s="745">
        <v>95.7</v>
      </c>
      <c r="L70" s="746">
        <v>95.7</v>
      </c>
    </row>
    <row r="71" spans="1:12" ht="15" x14ac:dyDescent="0.2">
      <c r="A71" s="459" t="s">
        <v>452</v>
      </c>
      <c r="B71" s="743" t="s">
        <v>176</v>
      </c>
      <c r="C71" s="744" t="s">
        <v>78</v>
      </c>
      <c r="D71" s="952">
        <v>0</v>
      </c>
      <c r="E71" s="766">
        <v>1.5</v>
      </c>
      <c r="F71" s="696">
        <v>1.5</v>
      </c>
      <c r="G71" s="766">
        <v>1.9</v>
      </c>
      <c r="H71" s="745"/>
      <c r="I71" s="745"/>
      <c r="J71" s="765">
        <v>0</v>
      </c>
      <c r="K71" s="745">
        <v>0</v>
      </c>
      <c r="L71" s="746">
        <v>0</v>
      </c>
    </row>
    <row r="72" spans="1:12" ht="15" x14ac:dyDescent="0.2">
      <c r="A72" s="459" t="s">
        <v>491</v>
      </c>
      <c r="B72" s="743" t="s">
        <v>77</v>
      </c>
      <c r="C72" s="744" t="s">
        <v>78</v>
      </c>
      <c r="D72" s="952">
        <v>0</v>
      </c>
      <c r="E72" s="745"/>
      <c r="F72" s="745"/>
      <c r="G72" s="745"/>
      <c r="H72" s="745"/>
      <c r="I72" s="745"/>
      <c r="J72" s="765">
        <v>0</v>
      </c>
      <c r="K72" s="745">
        <v>0</v>
      </c>
      <c r="L72" s="746">
        <v>0</v>
      </c>
    </row>
    <row r="73" spans="1:12" ht="15" x14ac:dyDescent="0.2">
      <c r="A73" s="767"/>
      <c r="B73" s="768"/>
      <c r="C73" s="744"/>
      <c r="D73" s="766"/>
      <c r="E73" s="766"/>
      <c r="F73" s="766"/>
      <c r="G73" s="766"/>
      <c r="H73" s="763"/>
      <c r="I73" s="769"/>
      <c r="J73" s="745"/>
      <c r="K73" s="770"/>
      <c r="L73" s="771"/>
    </row>
    <row r="74" spans="1:12" ht="66" customHeight="1" x14ac:dyDescent="0.2">
      <c r="A74" s="762" t="s">
        <v>252</v>
      </c>
      <c r="B74" s="1014" t="s">
        <v>471</v>
      </c>
      <c r="C74" s="1015"/>
      <c r="D74" s="1015"/>
      <c r="E74" s="1015"/>
      <c r="F74" s="1015"/>
      <c r="G74" s="1015"/>
      <c r="H74" s="1015"/>
      <c r="I74" s="1016"/>
      <c r="J74" s="759" t="s">
        <v>31</v>
      </c>
      <c r="K74" s="1008">
        <v>1048.134</v>
      </c>
      <c r="L74" s="1009"/>
    </row>
    <row r="75" spans="1:12" ht="14.25" customHeight="1" x14ac:dyDescent="0.2">
      <c r="A75" s="1017" t="s">
        <v>0</v>
      </c>
      <c r="B75" s="1019" t="s">
        <v>136</v>
      </c>
      <c r="C75" s="1021" t="s">
        <v>2</v>
      </c>
      <c r="D75" s="1023" t="s">
        <v>3</v>
      </c>
      <c r="E75" s="1025" t="s">
        <v>443</v>
      </c>
      <c r="F75" s="1026"/>
      <c r="G75" s="1027"/>
      <c r="H75" s="1028" t="s">
        <v>444</v>
      </c>
      <c r="I75" s="1029"/>
      <c r="J75" s="1023" t="s">
        <v>445</v>
      </c>
      <c r="K75" s="1023" t="s">
        <v>446</v>
      </c>
      <c r="L75" s="1032" t="s">
        <v>447</v>
      </c>
    </row>
    <row r="76" spans="1:12" ht="30" x14ac:dyDescent="0.2">
      <c r="A76" s="1018"/>
      <c r="B76" s="1020"/>
      <c r="C76" s="1022"/>
      <c r="D76" s="1024"/>
      <c r="E76" s="763" t="s">
        <v>448</v>
      </c>
      <c r="F76" s="763" t="s">
        <v>449</v>
      </c>
      <c r="G76" s="763" t="s">
        <v>450</v>
      </c>
      <c r="H76" s="1030"/>
      <c r="I76" s="1031"/>
      <c r="J76" s="1024"/>
      <c r="K76" s="1024"/>
      <c r="L76" s="1033"/>
    </row>
    <row r="77" spans="1:12" ht="15" x14ac:dyDescent="0.2">
      <c r="A77" s="767" t="s">
        <v>453</v>
      </c>
      <c r="B77" s="768" t="s">
        <v>75</v>
      </c>
      <c r="C77" s="744" t="s">
        <v>5</v>
      </c>
      <c r="D77" s="766">
        <v>824</v>
      </c>
      <c r="E77" s="766"/>
      <c r="F77" s="766"/>
      <c r="G77" s="766"/>
      <c r="H77" s="696" t="s">
        <v>145</v>
      </c>
      <c r="I77" s="769"/>
      <c r="J77" s="765">
        <v>0</v>
      </c>
      <c r="K77" s="765">
        <v>0</v>
      </c>
      <c r="L77" s="746">
        <v>0</v>
      </c>
    </row>
    <row r="78" spans="1:12" ht="15" x14ac:dyDescent="0.2">
      <c r="A78" s="767" t="s">
        <v>454</v>
      </c>
      <c r="B78" s="768" t="s">
        <v>76</v>
      </c>
      <c r="C78" s="744" t="s">
        <v>5</v>
      </c>
      <c r="D78" s="766">
        <v>825</v>
      </c>
      <c r="E78" s="766"/>
      <c r="F78" s="766"/>
      <c r="G78" s="766"/>
      <c r="H78" s="696" t="s">
        <v>145</v>
      </c>
      <c r="I78" s="769"/>
      <c r="J78" s="765">
        <v>0</v>
      </c>
      <c r="K78" s="765">
        <v>198</v>
      </c>
      <c r="L78" s="746">
        <v>198</v>
      </c>
    </row>
    <row r="79" spans="1:12" ht="15" x14ac:dyDescent="0.2">
      <c r="A79" s="767" t="s">
        <v>455</v>
      </c>
      <c r="B79" s="768" t="s">
        <v>80</v>
      </c>
      <c r="C79" s="744" t="s">
        <v>5</v>
      </c>
      <c r="D79" s="766">
        <v>1378</v>
      </c>
      <c r="E79" s="766"/>
      <c r="F79" s="766"/>
      <c r="G79" s="766"/>
      <c r="H79" s="696" t="s">
        <v>145</v>
      </c>
      <c r="I79" s="769"/>
      <c r="J79" s="765">
        <v>0</v>
      </c>
      <c r="K79" s="765">
        <v>771.68</v>
      </c>
      <c r="L79" s="746">
        <v>771.68</v>
      </c>
    </row>
    <row r="80" spans="1:12" ht="15" x14ac:dyDescent="0.2">
      <c r="A80" s="767" t="s">
        <v>456</v>
      </c>
      <c r="B80" s="768" t="s">
        <v>81</v>
      </c>
      <c r="C80" s="744" t="s">
        <v>5</v>
      </c>
      <c r="D80" s="766">
        <v>0</v>
      </c>
      <c r="E80" s="766"/>
      <c r="F80" s="766"/>
      <c r="G80" s="766"/>
      <c r="H80" s="696" t="s">
        <v>145</v>
      </c>
      <c r="I80" s="769"/>
      <c r="J80" s="765">
        <v>0</v>
      </c>
      <c r="K80" s="765">
        <v>0</v>
      </c>
      <c r="L80" s="746">
        <v>0</v>
      </c>
    </row>
    <row r="81" spans="1:14" ht="15" x14ac:dyDescent="0.2">
      <c r="A81" s="767" t="s">
        <v>457</v>
      </c>
      <c r="B81" s="768" t="s">
        <v>82</v>
      </c>
      <c r="C81" s="744" t="s">
        <v>5</v>
      </c>
      <c r="D81" s="766">
        <v>0</v>
      </c>
      <c r="E81" s="766"/>
      <c r="F81" s="766"/>
      <c r="G81" s="766"/>
      <c r="H81" s="696" t="s">
        <v>145</v>
      </c>
      <c r="I81" s="769"/>
      <c r="J81" s="765">
        <v>0</v>
      </c>
      <c r="K81" s="765">
        <v>0</v>
      </c>
      <c r="L81" s="746">
        <v>0</v>
      </c>
    </row>
    <row r="82" spans="1:14" ht="15" x14ac:dyDescent="0.2">
      <c r="A82" s="767" t="s">
        <v>458</v>
      </c>
      <c r="B82" s="768" t="s">
        <v>83</v>
      </c>
      <c r="C82" s="744" t="s">
        <v>5</v>
      </c>
      <c r="D82" s="766">
        <v>0</v>
      </c>
      <c r="E82" s="766"/>
      <c r="F82" s="766"/>
      <c r="G82" s="766"/>
      <c r="H82" s="696" t="s">
        <v>145</v>
      </c>
      <c r="I82" s="769"/>
      <c r="J82" s="765">
        <v>0</v>
      </c>
      <c r="K82" s="765">
        <v>0</v>
      </c>
      <c r="L82" s="746">
        <v>0</v>
      </c>
    </row>
    <row r="83" spans="1:14" ht="15" x14ac:dyDescent="0.2">
      <c r="A83" s="767" t="s">
        <v>459</v>
      </c>
      <c r="B83" s="768" t="s">
        <v>84</v>
      </c>
      <c r="C83" s="744" t="s">
        <v>78</v>
      </c>
      <c r="D83" s="766">
        <v>102</v>
      </c>
      <c r="E83" s="766">
        <v>1.4</v>
      </c>
      <c r="F83" s="766">
        <v>0</v>
      </c>
      <c r="G83" s="766">
        <v>1.4</v>
      </c>
      <c r="H83" s="763"/>
      <c r="I83" s="769"/>
      <c r="J83" s="765">
        <v>0</v>
      </c>
      <c r="K83" s="765">
        <v>0</v>
      </c>
      <c r="L83" s="746">
        <v>0</v>
      </c>
    </row>
    <row r="84" spans="1:14" ht="15" x14ac:dyDescent="0.2">
      <c r="A84" s="767" t="s">
        <v>460</v>
      </c>
      <c r="B84" s="768" t="s">
        <v>488</v>
      </c>
      <c r="C84" s="744" t="s">
        <v>78</v>
      </c>
      <c r="D84" s="766">
        <v>9</v>
      </c>
      <c r="E84" s="766">
        <v>1.7</v>
      </c>
      <c r="F84" s="766">
        <v>1</v>
      </c>
      <c r="G84" s="766">
        <v>1.9</v>
      </c>
      <c r="H84" s="763"/>
      <c r="I84" s="769"/>
      <c r="J84" s="765">
        <v>29.07</v>
      </c>
      <c r="K84" s="765">
        <v>70.47</v>
      </c>
      <c r="L84" s="746">
        <v>41.4</v>
      </c>
    </row>
    <row r="85" spans="1:14" ht="15" x14ac:dyDescent="0.2">
      <c r="A85" s="767" t="s">
        <v>461</v>
      </c>
      <c r="B85" s="768" t="s">
        <v>245</v>
      </c>
      <c r="C85" s="744" t="s">
        <v>78</v>
      </c>
      <c r="D85" s="766">
        <v>0</v>
      </c>
      <c r="E85" s="766">
        <v>1.5</v>
      </c>
      <c r="F85" s="766">
        <v>0.8</v>
      </c>
      <c r="G85" s="766">
        <v>1.9</v>
      </c>
      <c r="H85" s="763"/>
      <c r="I85" s="769"/>
      <c r="J85" s="765">
        <v>0</v>
      </c>
      <c r="K85" s="765">
        <v>0</v>
      </c>
      <c r="L85" s="746">
        <v>0</v>
      </c>
    </row>
    <row r="86" spans="1:14" ht="15" x14ac:dyDescent="0.2">
      <c r="A86" s="767" t="s">
        <v>462</v>
      </c>
      <c r="B86" s="768" t="s">
        <v>181</v>
      </c>
      <c r="C86" s="744" t="s">
        <v>78</v>
      </c>
      <c r="D86" s="766">
        <v>13</v>
      </c>
      <c r="E86" s="766">
        <v>1.4</v>
      </c>
      <c r="F86" s="766">
        <v>0.5</v>
      </c>
      <c r="G86" s="766">
        <v>1.9</v>
      </c>
      <c r="H86" s="763"/>
      <c r="I86" s="769"/>
      <c r="J86" s="765">
        <v>17.29</v>
      </c>
      <c r="K86" s="765">
        <v>43.354999999999997</v>
      </c>
      <c r="L86" s="746">
        <v>26.065000000000001</v>
      </c>
    </row>
    <row r="87" spans="1:14" ht="15" x14ac:dyDescent="0.2">
      <c r="A87" s="767" t="s">
        <v>463</v>
      </c>
      <c r="B87" s="768" t="s">
        <v>182</v>
      </c>
      <c r="C87" s="744" t="s">
        <v>78</v>
      </c>
      <c r="D87" s="766">
        <v>11</v>
      </c>
      <c r="E87" s="766">
        <v>1.3</v>
      </c>
      <c r="F87" s="766">
        <v>0.3</v>
      </c>
      <c r="G87" s="766">
        <v>1.9</v>
      </c>
      <c r="H87" s="763"/>
      <c r="I87" s="769"/>
      <c r="J87" s="765">
        <v>8.1509999999999998</v>
      </c>
      <c r="K87" s="765">
        <v>19.14</v>
      </c>
      <c r="L87" s="746">
        <v>10.989000000000001</v>
      </c>
    </row>
    <row r="88" spans="1:14" ht="15" x14ac:dyDescent="0.2">
      <c r="A88" s="767" t="s">
        <v>464</v>
      </c>
      <c r="B88" s="768" t="s">
        <v>176</v>
      </c>
      <c r="C88" s="744" t="s">
        <v>78</v>
      </c>
      <c r="D88" s="766">
        <v>0</v>
      </c>
      <c r="E88" s="766">
        <v>1.5</v>
      </c>
      <c r="F88" s="766">
        <v>1</v>
      </c>
      <c r="G88" s="766">
        <v>1.9</v>
      </c>
      <c r="H88" s="763"/>
      <c r="I88" s="769"/>
      <c r="J88" s="765">
        <v>0</v>
      </c>
      <c r="K88" s="765">
        <v>0</v>
      </c>
      <c r="L88" s="746">
        <v>0</v>
      </c>
    </row>
    <row r="89" spans="1:14" ht="15" x14ac:dyDescent="0.2">
      <c r="A89" s="767" t="s">
        <v>490</v>
      </c>
      <c r="B89" s="768" t="s">
        <v>77</v>
      </c>
      <c r="C89" s="744" t="s">
        <v>78</v>
      </c>
      <c r="D89" s="766">
        <v>0</v>
      </c>
      <c r="E89" s="766"/>
      <c r="F89" s="766"/>
      <c r="G89" s="766"/>
      <c r="H89" s="763"/>
      <c r="I89" s="769"/>
      <c r="J89" s="765">
        <v>0</v>
      </c>
      <c r="K89" s="765">
        <v>0</v>
      </c>
      <c r="L89" s="746">
        <v>0</v>
      </c>
    </row>
    <row r="90" spans="1:14" ht="15" x14ac:dyDescent="0.2">
      <c r="A90" s="767"/>
      <c r="B90" s="768"/>
      <c r="C90" s="744"/>
      <c r="D90" s="766"/>
      <c r="E90" s="766"/>
      <c r="F90" s="766"/>
      <c r="G90" s="766"/>
      <c r="H90" s="763"/>
      <c r="I90" s="769"/>
      <c r="J90" s="763"/>
      <c r="K90" s="770"/>
      <c r="L90" s="771"/>
    </row>
    <row r="91" spans="1:14" ht="14.25" x14ac:dyDescent="0.2">
      <c r="A91" s="955" t="s">
        <v>465</v>
      </c>
      <c r="B91" s="1005" t="s">
        <v>53</v>
      </c>
      <c r="C91" s="1006"/>
      <c r="D91" s="1006"/>
      <c r="E91" s="1006"/>
      <c r="F91" s="1006"/>
      <c r="G91" s="1006"/>
      <c r="H91" s="1006"/>
      <c r="I91" s="1007"/>
      <c r="J91" s="954" t="s">
        <v>5</v>
      </c>
      <c r="K91" s="1008">
        <v>756.75</v>
      </c>
      <c r="L91" s="1009"/>
    </row>
    <row r="92" spans="1:14" ht="15" x14ac:dyDescent="0.2">
      <c r="A92" s="955" t="s">
        <v>0</v>
      </c>
      <c r="B92" s="954" t="s">
        <v>136</v>
      </c>
      <c r="C92" s="954" t="s">
        <v>2</v>
      </c>
      <c r="D92" s="954" t="s">
        <v>3</v>
      </c>
      <c r="E92" s="1010" t="s">
        <v>466</v>
      </c>
      <c r="F92" s="1011"/>
      <c r="G92" s="1012"/>
      <c r="H92" s="954"/>
      <c r="I92" s="954"/>
      <c r="J92" s="772"/>
      <c r="K92" s="1010" t="s">
        <v>13</v>
      </c>
      <c r="L92" s="1013"/>
    </row>
    <row r="93" spans="1:14" ht="15" x14ac:dyDescent="0.2">
      <c r="A93" s="459" t="s">
        <v>453</v>
      </c>
      <c r="B93" s="743" t="s">
        <v>75</v>
      </c>
      <c r="C93" s="744" t="s">
        <v>5</v>
      </c>
      <c r="D93" s="952">
        <v>824</v>
      </c>
      <c r="E93" s="999">
        <v>4</v>
      </c>
      <c r="F93" s="1000"/>
      <c r="G93" s="1001"/>
      <c r="H93" s="745"/>
      <c r="I93" s="745"/>
      <c r="J93" s="745"/>
      <c r="K93" s="745"/>
      <c r="L93" s="757">
        <v>206</v>
      </c>
    </row>
    <row r="94" spans="1:14" ht="15" x14ac:dyDescent="0.2">
      <c r="A94" s="459" t="s">
        <v>454</v>
      </c>
      <c r="B94" s="743" t="s">
        <v>76</v>
      </c>
      <c r="C94" s="744" t="s">
        <v>5</v>
      </c>
      <c r="D94" s="952">
        <v>825</v>
      </c>
      <c r="E94" s="999">
        <v>4</v>
      </c>
      <c r="F94" s="1000"/>
      <c r="G94" s="1001"/>
      <c r="H94" s="745"/>
      <c r="I94" s="745"/>
      <c r="J94" s="745"/>
      <c r="K94" s="745"/>
      <c r="L94" s="757">
        <v>206.25</v>
      </c>
    </row>
    <row r="95" spans="1:14" ht="15" x14ac:dyDescent="0.2">
      <c r="A95" s="459" t="s">
        <v>455</v>
      </c>
      <c r="B95" s="747" t="s">
        <v>80</v>
      </c>
      <c r="C95" s="959" t="s">
        <v>5</v>
      </c>
      <c r="D95" s="952">
        <v>1378</v>
      </c>
      <c r="E95" s="999">
        <v>4</v>
      </c>
      <c r="F95" s="1000"/>
      <c r="G95" s="1001"/>
      <c r="H95" s="745"/>
      <c r="I95" s="745"/>
      <c r="J95" s="745"/>
      <c r="K95" s="745"/>
      <c r="L95" s="757">
        <v>344.5</v>
      </c>
    </row>
    <row r="96" spans="1:14" ht="15" x14ac:dyDescent="0.2">
      <c r="A96" s="459" t="s">
        <v>456</v>
      </c>
      <c r="B96" s="747" t="s">
        <v>81</v>
      </c>
      <c r="C96" s="959" t="s">
        <v>5</v>
      </c>
      <c r="D96" s="952">
        <v>0</v>
      </c>
      <c r="E96" s="999">
        <v>4</v>
      </c>
      <c r="F96" s="1000"/>
      <c r="G96" s="1001"/>
      <c r="H96" s="745"/>
      <c r="I96" s="745"/>
      <c r="J96" s="745"/>
      <c r="K96" s="745"/>
      <c r="L96" s="757">
        <v>0</v>
      </c>
      <c r="M96" s="1"/>
      <c r="N96" s="1"/>
    </row>
    <row r="97" spans="1:14" ht="15" x14ac:dyDescent="0.2">
      <c r="A97" s="459" t="s">
        <v>457</v>
      </c>
      <c r="B97" s="743" t="s">
        <v>82</v>
      </c>
      <c r="C97" s="744" t="s">
        <v>5</v>
      </c>
      <c r="D97" s="952">
        <v>0</v>
      </c>
      <c r="E97" s="999">
        <v>4</v>
      </c>
      <c r="F97" s="1000"/>
      <c r="G97" s="1001"/>
      <c r="H97" s="745"/>
      <c r="I97" s="745"/>
      <c r="J97" s="745"/>
      <c r="K97" s="745"/>
      <c r="L97" s="757">
        <v>0</v>
      </c>
      <c r="M97" s="14"/>
      <c r="N97" s="1"/>
    </row>
    <row r="98" spans="1:14" ht="15.75" thickBot="1" x14ac:dyDescent="0.25">
      <c r="A98" s="773" t="s">
        <v>458</v>
      </c>
      <c r="B98" s="774" t="s">
        <v>83</v>
      </c>
      <c r="C98" s="775" t="s">
        <v>5</v>
      </c>
      <c r="D98" s="953">
        <v>0</v>
      </c>
      <c r="E98" s="1002">
        <v>4</v>
      </c>
      <c r="F98" s="1003"/>
      <c r="G98" s="1004"/>
      <c r="H98" s="776"/>
      <c r="I98" s="776"/>
      <c r="J98" s="776"/>
      <c r="K98" s="776"/>
      <c r="L98" s="777">
        <v>0</v>
      </c>
      <c r="M98" s="15"/>
      <c r="N98" s="1"/>
    </row>
    <row r="99" spans="1:14" ht="111.75" customHeight="1" x14ac:dyDescent="0.2">
      <c r="A99" s="299"/>
      <c r="B99" s="299"/>
      <c r="C99" s="299"/>
      <c r="D99" s="299"/>
      <c r="E99" s="299"/>
      <c r="F99" s="299"/>
      <c r="G99" s="299"/>
      <c r="H99" s="299"/>
      <c r="I99" s="299"/>
      <c r="J99" s="299"/>
      <c r="K99" s="299"/>
      <c r="L99" s="299"/>
    </row>
    <row r="100" spans="1:14" ht="15" x14ac:dyDescent="0.2">
      <c r="A100" s="299"/>
      <c r="B100" s="300" t="s">
        <v>177</v>
      </c>
      <c r="C100" s="299"/>
      <c r="D100" s="299"/>
      <c r="E100" s="299"/>
      <c r="F100" s="299"/>
      <c r="G100" s="299"/>
      <c r="H100" s="299"/>
      <c r="I100" s="299"/>
      <c r="J100" s="299"/>
      <c r="K100" s="299"/>
      <c r="L100" s="299"/>
    </row>
    <row r="101" spans="1:14" ht="15" x14ac:dyDescent="0.2">
      <c r="A101" s="299"/>
      <c r="B101" s="299" t="s">
        <v>537</v>
      </c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</row>
  </sheetData>
  <mergeCells count="48">
    <mergeCell ref="A7:L7"/>
    <mergeCell ref="A1:L1"/>
    <mergeCell ref="A2:L2"/>
    <mergeCell ref="B3:L3"/>
    <mergeCell ref="G5:I5"/>
    <mergeCell ref="J4:L6"/>
    <mergeCell ref="B4:I4"/>
    <mergeCell ref="B5:E5"/>
    <mergeCell ref="B6:E6"/>
    <mergeCell ref="B9:I9"/>
    <mergeCell ref="K9:L9"/>
    <mergeCell ref="B23:I23"/>
    <mergeCell ref="K23:L23"/>
    <mergeCell ref="B37:G37"/>
    <mergeCell ref="B43:I43"/>
    <mergeCell ref="K43:L43"/>
    <mergeCell ref="B57:I57"/>
    <mergeCell ref="K57:L57"/>
    <mergeCell ref="A58:A59"/>
    <mergeCell ref="B58:B59"/>
    <mergeCell ref="C58:C59"/>
    <mergeCell ref="D58:D59"/>
    <mergeCell ref="E58:G58"/>
    <mergeCell ref="H58:I59"/>
    <mergeCell ref="J58:J59"/>
    <mergeCell ref="K58:K59"/>
    <mergeCell ref="L58:L59"/>
    <mergeCell ref="B74:I74"/>
    <mergeCell ref="K74:L74"/>
    <mergeCell ref="A75:A76"/>
    <mergeCell ref="B75:B76"/>
    <mergeCell ref="C75:C76"/>
    <mergeCell ref="D75:D76"/>
    <mergeCell ref="E75:G75"/>
    <mergeCell ref="H75:I76"/>
    <mergeCell ref="J75:J76"/>
    <mergeCell ref="K75:K76"/>
    <mergeCell ref="L75:L76"/>
    <mergeCell ref="B91:I91"/>
    <mergeCell ref="K91:L91"/>
    <mergeCell ref="E92:G92"/>
    <mergeCell ref="K92:L92"/>
    <mergeCell ref="E93:G93"/>
    <mergeCell ref="E94:G94"/>
    <mergeCell ref="E95:G95"/>
    <mergeCell ref="E96:G96"/>
    <mergeCell ref="E97:G97"/>
    <mergeCell ref="E98:G9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6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J30"/>
  <sheetViews>
    <sheetView view="pageBreakPreview" topLeftCell="A19" zoomScaleSheetLayoutView="100" workbookViewId="0">
      <selection activeCell="I3" sqref="I3"/>
    </sheetView>
  </sheetViews>
  <sheetFormatPr defaultRowHeight="12.75" x14ac:dyDescent="0.2"/>
  <cols>
    <col min="1" max="1" width="11.28515625" style="109" customWidth="1"/>
    <col min="2" max="2" width="56" style="109" customWidth="1"/>
    <col min="3" max="3" width="14.28515625" style="109" customWidth="1"/>
    <col min="4" max="4" width="13.140625" style="109" bestFit="1" customWidth="1"/>
    <col min="5" max="5" width="13.5703125" style="109" customWidth="1"/>
    <col min="6" max="6" width="13.140625" style="109" customWidth="1"/>
    <col min="7" max="7" width="17.42578125" style="109" customWidth="1"/>
    <col min="8" max="8" width="14.7109375" style="109" bestFit="1" customWidth="1"/>
    <col min="9" max="9" width="11.85546875" style="109" bestFit="1" customWidth="1"/>
    <col min="10" max="10" width="15.7109375" style="109" customWidth="1"/>
    <col min="11" max="16384" width="9.140625" style="109"/>
  </cols>
  <sheetData>
    <row r="1" spans="1:10" ht="48" customHeight="1" x14ac:dyDescent="0.2">
      <c r="A1" s="1183" t="s">
        <v>556</v>
      </c>
      <c r="B1" s="1184"/>
      <c r="C1" s="1419"/>
      <c r="D1" s="1419"/>
      <c r="E1" s="1419"/>
      <c r="F1" s="1420"/>
    </row>
    <row r="2" spans="1:10" ht="48" customHeight="1" x14ac:dyDescent="0.2">
      <c r="A2" s="1185"/>
      <c r="B2" s="1186"/>
      <c r="C2" s="1421"/>
      <c r="D2" s="1421"/>
      <c r="E2" s="1421"/>
      <c r="F2" s="1422"/>
    </row>
    <row r="3" spans="1:10" ht="21.75" customHeight="1" x14ac:dyDescent="0.2">
      <c r="A3" s="428" t="s">
        <v>55</v>
      </c>
      <c r="B3" s="941" t="s">
        <v>663</v>
      </c>
      <c r="C3" s="480" t="s">
        <v>374</v>
      </c>
      <c r="D3" s="1433" t="s">
        <v>60</v>
      </c>
      <c r="E3" s="1433"/>
      <c r="F3" s="259" t="s">
        <v>59</v>
      </c>
    </row>
    <row r="4" spans="1:10" ht="21.75" customHeight="1" x14ac:dyDescent="0.2">
      <c r="A4" s="428" t="s">
        <v>56</v>
      </c>
      <c r="B4" s="941" t="s">
        <v>629</v>
      </c>
      <c r="C4" s="1381" t="s">
        <v>701</v>
      </c>
      <c r="D4" s="991" t="s">
        <v>703</v>
      </c>
      <c r="E4" s="991"/>
      <c r="F4" s="1379">
        <v>0.20699999999999999</v>
      </c>
    </row>
    <row r="5" spans="1:10" ht="21.75" customHeight="1" x14ac:dyDescent="0.2">
      <c r="A5" s="428" t="s">
        <v>57</v>
      </c>
      <c r="B5" s="941" t="s">
        <v>630</v>
      </c>
      <c r="C5" s="1394"/>
      <c r="D5" s="991"/>
      <c r="E5" s="991"/>
      <c r="F5" s="1379"/>
    </row>
    <row r="6" spans="1:10" ht="21.75" customHeight="1" thickBot="1" x14ac:dyDescent="0.25">
      <c r="A6" s="430" t="s">
        <v>397</v>
      </c>
      <c r="B6" s="942">
        <v>41980.480000000003</v>
      </c>
      <c r="C6" s="1382"/>
      <c r="D6" s="993"/>
      <c r="E6" s="993"/>
      <c r="F6" s="1380"/>
    </row>
    <row r="7" spans="1:10" ht="38.25" customHeight="1" thickBot="1" x14ac:dyDescent="0.25">
      <c r="A7" s="1416" t="s">
        <v>159</v>
      </c>
      <c r="B7" s="1417"/>
      <c r="C7" s="1417"/>
      <c r="D7" s="1417"/>
      <c r="E7" s="1432"/>
      <c r="F7" s="1418"/>
    </row>
    <row r="8" spans="1:10" ht="24" customHeight="1" x14ac:dyDescent="0.2">
      <c r="A8" s="1485" t="s">
        <v>696</v>
      </c>
      <c r="B8" s="1483" t="s">
        <v>273</v>
      </c>
      <c r="C8" s="1483" t="s">
        <v>400</v>
      </c>
      <c r="D8" s="1483"/>
      <c r="E8" s="1483"/>
      <c r="F8" s="1487"/>
      <c r="G8" s="27"/>
    </row>
    <row r="9" spans="1:10" ht="15" x14ac:dyDescent="0.2">
      <c r="A9" s="1486"/>
      <c r="B9" s="1484"/>
      <c r="C9" s="669" t="s">
        <v>401</v>
      </c>
      <c r="D9" s="669" t="s">
        <v>402</v>
      </c>
      <c r="E9" s="669" t="s">
        <v>13</v>
      </c>
      <c r="F9" s="670" t="s">
        <v>403</v>
      </c>
      <c r="G9" s="27"/>
      <c r="H9" s="255"/>
      <c r="J9" s="671"/>
    </row>
    <row r="10" spans="1:10" ht="15" x14ac:dyDescent="0.2">
      <c r="A10" s="944"/>
      <c r="B10" s="943"/>
      <c r="C10" s="669"/>
      <c r="D10" s="669"/>
      <c r="E10" s="669"/>
      <c r="F10" s="670"/>
      <c r="G10" s="27"/>
      <c r="H10" s="255"/>
      <c r="J10" s="671"/>
    </row>
    <row r="11" spans="1:10" ht="23.25" customHeight="1" x14ac:dyDescent="0.2">
      <c r="A11" s="672">
        <v>1</v>
      </c>
      <c r="B11" s="943" t="s">
        <v>697</v>
      </c>
      <c r="C11" s="435">
        <v>2613668.2000000002</v>
      </c>
      <c r="D11" s="435">
        <v>137561.47</v>
      </c>
      <c r="E11" s="460">
        <v>2751229.67</v>
      </c>
      <c r="F11" s="673"/>
      <c r="G11" s="27"/>
      <c r="H11" s="353"/>
      <c r="J11" s="674"/>
    </row>
    <row r="12" spans="1:10" ht="23.25" customHeight="1" x14ac:dyDescent="0.2">
      <c r="A12" s="394"/>
      <c r="B12" s="943"/>
      <c r="C12" s="435"/>
      <c r="D12" s="435"/>
      <c r="E12" s="460"/>
      <c r="F12" s="673"/>
      <c r="G12" s="27"/>
    </row>
    <row r="13" spans="1:10" ht="23.25" customHeight="1" x14ac:dyDescent="0.2">
      <c r="A13" s="672">
        <v>2</v>
      </c>
      <c r="B13" s="943" t="s">
        <v>698</v>
      </c>
      <c r="C13" s="435">
        <v>1119584.8799999999</v>
      </c>
      <c r="D13" s="435">
        <v>58925.52</v>
      </c>
      <c r="E13" s="460">
        <v>1178510.3999999999</v>
      </c>
      <c r="F13" s="673"/>
      <c r="G13" s="27"/>
    </row>
    <row r="14" spans="1:10" ht="23.25" customHeight="1" x14ac:dyDescent="0.2">
      <c r="A14" s="394"/>
      <c r="B14" s="943"/>
      <c r="C14" s="435"/>
      <c r="D14" s="435"/>
      <c r="E14" s="460"/>
      <c r="F14" s="673"/>
      <c r="G14" s="27"/>
    </row>
    <row r="15" spans="1:10" ht="23.25" customHeight="1" x14ac:dyDescent="0.2">
      <c r="A15" s="944">
        <v>3</v>
      </c>
      <c r="B15" s="943" t="s">
        <v>699</v>
      </c>
      <c r="C15" s="435">
        <v>114544.3</v>
      </c>
      <c r="D15" s="435">
        <v>6028.65</v>
      </c>
      <c r="E15" s="460">
        <v>120572.95</v>
      </c>
      <c r="F15" s="673"/>
      <c r="G15" s="27"/>
      <c r="H15" s="353"/>
      <c r="J15" s="674"/>
    </row>
    <row r="16" spans="1:10" ht="23.25" customHeight="1" x14ac:dyDescent="0.2">
      <c r="A16" s="944"/>
      <c r="B16" s="943"/>
      <c r="C16" s="435"/>
      <c r="D16" s="435"/>
      <c r="E16" s="460"/>
      <c r="F16" s="673"/>
      <c r="G16" s="27"/>
      <c r="H16" s="353"/>
      <c r="J16" s="674"/>
    </row>
    <row r="17" spans="1:10" ht="23.25" customHeight="1" x14ac:dyDescent="0.2">
      <c r="A17" s="944">
        <v>4</v>
      </c>
      <c r="B17" s="943" t="s">
        <v>694</v>
      </c>
      <c r="C17" s="435">
        <v>783438.54</v>
      </c>
      <c r="D17" s="435">
        <v>41233.61</v>
      </c>
      <c r="E17" s="460">
        <v>824672.15</v>
      </c>
      <c r="F17" s="673"/>
      <c r="G17" s="27"/>
      <c r="H17" s="353"/>
      <c r="J17" s="674"/>
    </row>
    <row r="18" spans="1:10" ht="23.25" customHeight="1" x14ac:dyDescent="0.2">
      <c r="A18" s="946"/>
      <c r="B18" s="943"/>
      <c r="C18" s="435"/>
      <c r="D18" s="435"/>
      <c r="E18" s="460"/>
      <c r="F18" s="673"/>
      <c r="G18" s="27"/>
      <c r="H18" s="353"/>
      <c r="J18" s="674"/>
    </row>
    <row r="19" spans="1:10" ht="23.25" customHeight="1" x14ac:dyDescent="0.2">
      <c r="A19" s="946">
        <v>5</v>
      </c>
      <c r="B19" s="943" t="s">
        <v>707</v>
      </c>
      <c r="C19" s="435">
        <v>118764.08</v>
      </c>
      <c r="D19" s="435">
        <v>6250.75</v>
      </c>
      <c r="E19" s="460">
        <v>125014.83</v>
      </c>
      <c r="F19" s="673"/>
      <c r="G19" s="27"/>
      <c r="H19" s="353"/>
      <c r="J19" s="674"/>
    </row>
    <row r="20" spans="1:10" ht="23.25" customHeight="1" x14ac:dyDescent="0.2">
      <c r="A20" s="947"/>
      <c r="B20" s="948"/>
      <c r="C20" s="435"/>
      <c r="D20" s="435"/>
      <c r="E20" s="460"/>
      <c r="F20" s="673"/>
      <c r="G20" s="27"/>
      <c r="H20" s="353"/>
      <c r="J20" s="674"/>
    </row>
    <row r="21" spans="1:10" ht="23.25" customHeight="1" x14ac:dyDescent="0.2">
      <c r="A21" s="1488" t="s">
        <v>13</v>
      </c>
      <c r="B21" s="1489"/>
      <c r="C21" s="675">
        <v>4750000</v>
      </c>
      <c r="D21" s="675">
        <v>250000</v>
      </c>
      <c r="E21" s="676">
        <v>5000000</v>
      </c>
      <c r="F21" s="677">
        <v>0</v>
      </c>
      <c r="G21" s="27"/>
      <c r="H21" s="255"/>
      <c r="I21" s="255"/>
    </row>
    <row r="22" spans="1:10" ht="23.25" customHeight="1" thickBot="1" x14ac:dyDescent="0.25">
      <c r="A22" s="1481"/>
      <c r="B22" s="1482"/>
      <c r="C22" s="436"/>
      <c r="D22" s="436"/>
      <c r="E22" s="436"/>
      <c r="F22" s="678"/>
      <c r="G22" s="27"/>
    </row>
    <row r="23" spans="1:10" ht="15" x14ac:dyDescent="0.2">
      <c r="A23" s="27"/>
      <c r="B23" s="679"/>
      <c r="C23" s="679"/>
      <c r="D23" s="680"/>
      <c r="E23" s="680"/>
      <c r="F23" s="681"/>
      <c r="G23" s="27"/>
      <c r="H23" s="359"/>
      <c r="I23" s="682"/>
    </row>
    <row r="24" spans="1:10" ht="15" x14ac:dyDescent="0.2">
      <c r="A24" s="27"/>
      <c r="B24" s="679"/>
      <c r="C24" s="679"/>
      <c r="D24" s="27"/>
      <c r="E24" s="27"/>
      <c r="F24" s="27"/>
      <c r="G24" s="27"/>
    </row>
    <row r="25" spans="1:10" ht="15.75" x14ac:dyDescent="0.2">
      <c r="B25" s="683"/>
    </row>
    <row r="26" spans="1:10" x14ac:dyDescent="0.2">
      <c r="B26" s="434"/>
      <c r="D26" s="365"/>
    </row>
    <row r="29" spans="1:10" ht="15" x14ac:dyDescent="0.2">
      <c r="B29" s="684" t="s">
        <v>177</v>
      </c>
    </row>
    <row r="30" spans="1:10" x14ac:dyDescent="0.2">
      <c r="B30" s="685" t="s">
        <v>537</v>
      </c>
    </row>
  </sheetData>
  <mergeCells count="13">
    <mergeCell ref="A22:B22"/>
    <mergeCell ref="A7:F7"/>
    <mergeCell ref="B8:B9"/>
    <mergeCell ref="A8:A9"/>
    <mergeCell ref="C8:F8"/>
    <mergeCell ref="A21:B21"/>
    <mergeCell ref="A1:B2"/>
    <mergeCell ref="C1:F1"/>
    <mergeCell ref="C2:F2"/>
    <mergeCell ref="D3:E3"/>
    <mergeCell ref="C4:C6"/>
    <mergeCell ref="D4:E6"/>
    <mergeCell ref="F4:F6"/>
  </mergeCells>
  <pageMargins left="0.31496062992125984" right="0.31496062992125984" top="0.59055118110236227" bottom="0.59055118110236227" header="0.31496062992125984" footer="0.31496062992125984"/>
  <pageSetup paperSize="9" scale="7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L40"/>
  <sheetViews>
    <sheetView view="pageBreakPreview" zoomScaleSheetLayoutView="100" workbookViewId="0">
      <selection activeCell="M37" sqref="M37"/>
    </sheetView>
  </sheetViews>
  <sheetFormatPr defaultRowHeight="12.75" x14ac:dyDescent="0.2"/>
  <cols>
    <col min="1" max="1" width="12.42578125" customWidth="1"/>
    <col min="2" max="2" width="36.28515625" customWidth="1"/>
    <col min="3" max="3" width="50" customWidth="1"/>
    <col min="4" max="4" width="20.140625" style="92" customWidth="1"/>
    <col min="5" max="5" width="22.5703125" customWidth="1"/>
    <col min="6" max="6" width="9" style="92" customWidth="1"/>
    <col min="7" max="7" width="10.7109375" customWidth="1"/>
  </cols>
  <sheetData>
    <row r="1" spans="1:12" s="433" customFormat="1" ht="48" customHeight="1" x14ac:dyDescent="0.2">
      <c r="A1" s="1183" t="str">
        <f>Terrap.!A1</f>
        <v>PRISMA                                                                                                                     ENGENHARIA</v>
      </c>
      <c r="B1" s="1184"/>
      <c r="C1" s="1419" t="str">
        <f>Terrap.!C1</f>
        <v>ESTADO DE MATO GROSSO</v>
      </c>
      <c r="D1" s="1419"/>
      <c r="E1" s="1419"/>
      <c r="F1" s="1419"/>
      <c r="G1" s="1420"/>
    </row>
    <row r="2" spans="1:12" s="433" customFormat="1" ht="48" customHeight="1" x14ac:dyDescent="0.2">
      <c r="A2" s="1185"/>
      <c r="B2" s="1186"/>
      <c r="C2" s="1421" t="str">
        <f>Terrap.!C2</f>
        <v>PREFEITURA MUNICIPAL DE CLAUDIA</v>
      </c>
      <c r="D2" s="1421"/>
      <c r="E2" s="1421"/>
      <c r="F2" s="1421"/>
      <c r="G2" s="1422"/>
    </row>
    <row r="3" spans="1:12" s="91" customFormat="1" ht="24" customHeight="1" x14ac:dyDescent="0.2">
      <c r="A3" s="428" t="str">
        <f>Terrap.!A3</f>
        <v>OBRA:</v>
      </c>
      <c r="B3" s="426" t="str">
        <f>Terrap.!B3</f>
        <v>PAVIMENTAÇÃO ASFALTICA E DRENAGEM DE AGUAS PLUVIAIS</v>
      </c>
      <c r="C3" s="426"/>
      <c r="D3" s="480" t="s">
        <v>374</v>
      </c>
      <c r="E3" s="1433" t="str">
        <f>Terrap.!H6</f>
        <v>TABELA:</v>
      </c>
      <c r="F3" s="1433"/>
      <c r="G3" s="259" t="str">
        <f>Terrap.!E6</f>
        <v>BDI:</v>
      </c>
    </row>
    <row r="4" spans="1:12" s="91" customFormat="1" ht="24" customHeight="1" x14ac:dyDescent="0.2">
      <c r="A4" s="428" t="str">
        <f>Terrap.!A4</f>
        <v>LOCAL:</v>
      </c>
      <c r="B4" s="426" t="str">
        <f>Terrap.!B4</f>
        <v>DIVERSAS RUAS - PERIMETRO URBANO</v>
      </c>
      <c r="C4" s="426"/>
      <c r="D4" s="1381" t="str">
        <f>Terrap.!F5</f>
        <v>JANEIRO / 2019</v>
      </c>
      <c r="E4" s="991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  <c r="F4" s="991"/>
      <c r="G4" s="1379">
        <f>Terrap.!F6</f>
        <v>0.20699999999999999</v>
      </c>
    </row>
    <row r="5" spans="1:12" s="91" customFormat="1" ht="24" customHeight="1" x14ac:dyDescent="0.2">
      <c r="A5" s="428" t="str">
        <f>Terrap.!A5</f>
        <v>PROPR.:</v>
      </c>
      <c r="B5" s="426" t="str">
        <f>Terrap.!B5</f>
        <v>PREFEITURA MUNICIPAL DE CLAUDIA</v>
      </c>
      <c r="C5" s="426"/>
      <c r="D5" s="1394"/>
      <c r="E5" s="991"/>
      <c r="F5" s="991"/>
      <c r="G5" s="1379"/>
    </row>
    <row r="6" spans="1:12" s="91" customFormat="1" ht="24" customHeight="1" thickBot="1" x14ac:dyDescent="0.25">
      <c r="A6" s="430" t="str">
        <f>Terrap.!A6</f>
        <v>ÁREA (m²):</v>
      </c>
      <c r="B6" s="1496">
        <f>Terrap.!C26</f>
        <v>41980.480000000003</v>
      </c>
      <c r="C6" s="1496"/>
      <c r="D6" s="1382"/>
      <c r="E6" s="993"/>
      <c r="F6" s="993"/>
      <c r="G6" s="1380"/>
    </row>
    <row r="7" spans="1:12" s="92" customFormat="1" ht="26.25" customHeight="1" thickBot="1" x14ac:dyDescent="0.25">
      <c r="A7" s="1416" t="s">
        <v>161</v>
      </c>
      <c r="B7" s="1417"/>
      <c r="C7" s="1417"/>
      <c r="D7" s="1417"/>
      <c r="E7" s="1417"/>
      <c r="F7" s="1432"/>
      <c r="G7" s="1418"/>
    </row>
    <row r="8" spans="1:12" s="41" customFormat="1" ht="15.75" thickBot="1" x14ac:dyDescent="0.3">
      <c r="B8" s="29"/>
      <c r="C8" s="29"/>
      <c r="D8" s="29"/>
      <c r="E8" s="29"/>
      <c r="F8" s="29"/>
      <c r="H8" s="29"/>
      <c r="I8" s="29"/>
      <c r="J8" s="29"/>
      <c r="K8" s="29"/>
      <c r="L8" s="29"/>
    </row>
    <row r="9" spans="1:12" s="41" customFormat="1" ht="28.5" hidden="1" customHeight="1" x14ac:dyDescent="0.25">
      <c r="B9" s="1494" t="s">
        <v>590</v>
      </c>
      <c r="C9" s="1495"/>
      <c r="D9" s="1495"/>
      <c r="E9" s="1495"/>
      <c r="F9" s="907" t="s">
        <v>15</v>
      </c>
      <c r="H9" s="29"/>
      <c r="I9" s="29"/>
      <c r="J9" s="29"/>
      <c r="K9" s="29"/>
      <c r="L9" s="29"/>
    </row>
    <row r="10" spans="1:12" s="41" customFormat="1" ht="19.5" hidden="1" customHeight="1" x14ac:dyDescent="0.25">
      <c r="B10" s="1490" t="s">
        <v>164</v>
      </c>
      <c r="C10" s="1491"/>
      <c r="D10" s="1491"/>
      <c r="E10" s="1491"/>
      <c r="F10" s="316">
        <v>4.01</v>
      </c>
      <c r="H10" s="29"/>
      <c r="I10" s="29"/>
      <c r="J10" s="29"/>
      <c r="K10" s="29"/>
      <c r="L10" s="29"/>
    </row>
    <row r="11" spans="1:12" s="41" customFormat="1" ht="19.5" hidden="1" customHeight="1" x14ac:dyDescent="0.25">
      <c r="B11" s="1490" t="s">
        <v>496</v>
      </c>
      <c r="C11" s="1491"/>
      <c r="D11" s="1491"/>
      <c r="E11" s="1491"/>
      <c r="F11" s="316">
        <v>0.4</v>
      </c>
      <c r="H11" s="29"/>
      <c r="I11" s="29"/>
      <c r="J11" s="29"/>
      <c r="K11" s="29"/>
      <c r="L11" s="29"/>
    </row>
    <row r="12" spans="1:12" s="41" customFormat="1" ht="19.5" hidden="1" customHeight="1" x14ac:dyDescent="0.25">
      <c r="B12" s="1490" t="s">
        <v>162</v>
      </c>
      <c r="C12" s="1491"/>
      <c r="D12" s="1491"/>
      <c r="E12" s="1491"/>
      <c r="F12" s="316">
        <v>0.56000000000000005</v>
      </c>
      <c r="H12" s="29"/>
      <c r="I12" s="29"/>
      <c r="J12" s="29"/>
      <c r="K12" s="35"/>
      <c r="L12" s="29"/>
    </row>
    <row r="13" spans="1:12" s="41" customFormat="1" ht="19.5" hidden="1" customHeight="1" x14ac:dyDescent="0.25">
      <c r="B13" s="1490" t="s">
        <v>163</v>
      </c>
      <c r="C13" s="1491"/>
      <c r="D13" s="1491"/>
      <c r="E13" s="1491"/>
      <c r="F13" s="316">
        <v>1.1100000000000001</v>
      </c>
      <c r="H13" s="29"/>
      <c r="I13" s="29"/>
      <c r="J13" s="29"/>
      <c r="K13" s="35"/>
      <c r="L13" s="29"/>
    </row>
    <row r="14" spans="1:12" s="41" customFormat="1" ht="19.5" hidden="1" customHeight="1" x14ac:dyDescent="0.25">
      <c r="B14" s="1490" t="s">
        <v>165</v>
      </c>
      <c r="C14" s="1491"/>
      <c r="D14" s="1491"/>
      <c r="E14" s="1491"/>
      <c r="F14" s="316">
        <v>7.3</v>
      </c>
      <c r="H14" s="29"/>
      <c r="I14" s="29"/>
      <c r="J14" s="29"/>
      <c r="K14" s="35"/>
      <c r="L14" s="29"/>
    </row>
    <row r="15" spans="1:12" s="41" customFormat="1" ht="19.5" hidden="1" customHeight="1" x14ac:dyDescent="0.25">
      <c r="B15" s="1490" t="s">
        <v>381</v>
      </c>
      <c r="C15" s="1491"/>
      <c r="D15" s="1491"/>
      <c r="E15" s="1491"/>
      <c r="F15" s="316">
        <f>2+0.65+3+4.5</f>
        <v>10.15</v>
      </c>
      <c r="H15" s="29"/>
      <c r="I15" s="29"/>
      <c r="J15" s="29"/>
      <c r="K15" s="35"/>
      <c r="L15" s="29"/>
    </row>
    <row r="16" spans="1:12" s="41" customFormat="1" ht="19.5" hidden="1" customHeight="1" x14ac:dyDescent="0.25">
      <c r="B16" s="1490"/>
      <c r="C16" s="1491"/>
      <c r="D16" s="1491"/>
      <c r="E16" s="1491"/>
      <c r="F16" s="316"/>
      <c r="H16" s="29"/>
      <c r="I16" s="30"/>
      <c r="J16" s="29"/>
      <c r="K16" s="35"/>
      <c r="L16" s="29"/>
    </row>
    <row r="17" spans="2:7" s="41" customFormat="1" ht="19.5" hidden="1" customHeight="1" thickBot="1" x14ac:dyDescent="0.25">
      <c r="B17" s="1492" t="s">
        <v>13</v>
      </c>
      <c r="C17" s="1493"/>
      <c r="D17" s="1493"/>
      <c r="E17" s="1493"/>
      <c r="F17" s="908">
        <f>(((1+F10/100+F11/100+F12/100)*(1+F13/100)*(1+F14/100))/(1-F15/100))-1</f>
        <v>0.26750000000000002</v>
      </c>
    </row>
    <row r="18" spans="2:7" s="41" customFormat="1" ht="15" hidden="1" thickBot="1" x14ac:dyDescent="0.25">
      <c r="B18" s="400"/>
      <c r="C18" s="400"/>
      <c r="D18" s="400"/>
      <c r="E18" s="400"/>
      <c r="F18" s="400"/>
      <c r="G18" s="91"/>
    </row>
    <row r="19" spans="2:7" s="92" customFormat="1" ht="22.5" customHeight="1" x14ac:dyDescent="0.2">
      <c r="B19" s="1494" t="s">
        <v>591</v>
      </c>
      <c r="C19" s="1495"/>
      <c r="D19" s="1495"/>
      <c r="E19" s="1495"/>
      <c r="F19" s="907" t="s">
        <v>15</v>
      </c>
      <c r="G19" s="91"/>
    </row>
    <row r="20" spans="2:7" s="92" customFormat="1" ht="15" x14ac:dyDescent="0.2">
      <c r="B20" s="1490" t="s">
        <v>164</v>
      </c>
      <c r="C20" s="1491"/>
      <c r="D20" s="1491"/>
      <c r="E20" s="1491"/>
      <c r="F20" s="316">
        <v>4.01</v>
      </c>
      <c r="G20" s="91"/>
    </row>
    <row r="21" spans="2:7" s="92" customFormat="1" ht="15" x14ac:dyDescent="0.2">
      <c r="B21" s="1490" t="s">
        <v>496</v>
      </c>
      <c r="C21" s="1491"/>
      <c r="D21" s="1491"/>
      <c r="E21" s="1491"/>
      <c r="F21" s="316">
        <v>0.4</v>
      </c>
      <c r="G21" s="91"/>
    </row>
    <row r="22" spans="2:7" s="92" customFormat="1" ht="15" x14ac:dyDescent="0.2">
      <c r="B22" s="1490" t="s">
        <v>162</v>
      </c>
      <c r="C22" s="1491"/>
      <c r="D22" s="1491"/>
      <c r="E22" s="1491"/>
      <c r="F22" s="316">
        <v>0.56000000000000005</v>
      </c>
      <c r="G22" s="91"/>
    </row>
    <row r="23" spans="2:7" s="92" customFormat="1" ht="15" x14ac:dyDescent="0.2">
      <c r="B23" s="1490" t="s">
        <v>163</v>
      </c>
      <c r="C23" s="1491"/>
      <c r="D23" s="1491"/>
      <c r="E23" s="1491"/>
      <c r="F23" s="316">
        <v>1.1100000000000001</v>
      </c>
      <c r="G23" s="91"/>
    </row>
    <row r="24" spans="2:7" s="92" customFormat="1" ht="15" x14ac:dyDescent="0.2">
      <c r="B24" s="1490" t="s">
        <v>165</v>
      </c>
      <c r="C24" s="1491"/>
      <c r="D24" s="1491"/>
      <c r="E24" s="1491"/>
      <c r="F24" s="316">
        <v>7.3</v>
      </c>
      <c r="G24" s="91"/>
    </row>
    <row r="25" spans="2:7" s="92" customFormat="1" ht="15" x14ac:dyDescent="0.2">
      <c r="B25" s="1490" t="s">
        <v>592</v>
      </c>
      <c r="C25" s="1491"/>
      <c r="D25" s="1491"/>
      <c r="E25" s="1491"/>
      <c r="F25" s="316">
        <f>2+0.65+3</f>
        <v>5.65</v>
      </c>
      <c r="G25" s="91"/>
    </row>
    <row r="26" spans="2:7" s="92" customFormat="1" ht="15" x14ac:dyDescent="0.2">
      <c r="B26" s="1490"/>
      <c r="C26" s="1491"/>
      <c r="D26" s="1491"/>
      <c r="E26" s="1491"/>
      <c r="F26" s="316"/>
      <c r="G26" s="91"/>
    </row>
    <row r="27" spans="2:7" s="92" customFormat="1" ht="15.75" thickBot="1" x14ac:dyDescent="0.25">
      <c r="B27" s="1492" t="s">
        <v>13</v>
      </c>
      <c r="C27" s="1493"/>
      <c r="D27" s="1493"/>
      <c r="E27" s="1493"/>
      <c r="F27" s="908">
        <f>(((1+F20/100+F21/100+F22/100)*(1+F23/100)*(1+F24/100))/(1-F25/100))-1</f>
        <v>0.20699999999999999</v>
      </c>
      <c r="G27" s="91"/>
    </row>
    <row r="28" spans="2:7" s="41" customFormat="1" ht="14.25" x14ac:dyDescent="0.2">
      <c r="B28" s="91" t="s">
        <v>279</v>
      </c>
      <c r="C28" s="91"/>
      <c r="D28" s="91"/>
      <c r="E28" s="91"/>
      <c r="F28" s="91"/>
      <c r="G28" s="91"/>
    </row>
    <row r="29" spans="2:7" s="41" customFormat="1" ht="15" x14ac:dyDescent="0.25">
      <c r="B29" s="91" t="s">
        <v>342</v>
      </c>
      <c r="C29" s="16"/>
      <c r="D29" s="16"/>
      <c r="E29" s="16"/>
      <c r="F29" s="16"/>
      <c r="G29" s="42"/>
    </row>
    <row r="30" spans="2:7" s="41" customFormat="1" ht="15" x14ac:dyDescent="0.25">
      <c r="B30" s="43"/>
      <c r="C30" s="16"/>
      <c r="D30" s="16"/>
      <c r="E30" s="16"/>
      <c r="F30" s="16"/>
      <c r="G30" s="42"/>
    </row>
    <row r="31" spans="2:7" s="41" customFormat="1" ht="15" x14ac:dyDescent="0.25">
      <c r="B31" s="43"/>
      <c r="C31" s="16"/>
      <c r="D31" s="16"/>
      <c r="E31" s="16"/>
      <c r="F31" s="16"/>
      <c r="G31" s="42"/>
    </row>
    <row r="32" spans="2:7" s="41" customFormat="1" ht="15" x14ac:dyDescent="0.25">
      <c r="B32" s="43"/>
      <c r="C32" s="16"/>
      <c r="D32" s="16"/>
      <c r="E32" s="16"/>
      <c r="F32" s="16"/>
      <c r="G32" s="42"/>
    </row>
    <row r="33" spans="2:7" s="41" customFormat="1" ht="15" x14ac:dyDescent="0.25">
      <c r="B33" s="16"/>
      <c r="C33" s="16"/>
      <c r="D33" s="16"/>
      <c r="E33" s="16"/>
      <c r="F33" s="16"/>
      <c r="G33" s="42"/>
    </row>
    <row r="34" spans="2:7" s="41" customFormat="1" ht="15" x14ac:dyDescent="0.25">
      <c r="B34" s="16"/>
      <c r="C34" s="16"/>
      <c r="D34" s="16"/>
      <c r="E34" s="16"/>
      <c r="F34" s="16"/>
      <c r="G34" s="42"/>
    </row>
    <row r="35" spans="2:7" s="41" customFormat="1" ht="15" x14ac:dyDescent="0.25">
      <c r="B35" s="16"/>
      <c r="C35" s="16"/>
      <c r="D35" s="16"/>
      <c r="E35" s="16"/>
      <c r="F35" s="16"/>
      <c r="G35" s="42"/>
    </row>
    <row r="36" spans="2:7" s="41" customFormat="1" ht="15" x14ac:dyDescent="0.25">
      <c r="B36" s="16"/>
      <c r="C36" s="16"/>
      <c r="D36" s="16"/>
      <c r="E36" s="16"/>
      <c r="F36" s="16"/>
      <c r="G36" s="42"/>
    </row>
    <row r="37" spans="2:7" s="41" customFormat="1" ht="223.5" customHeight="1" x14ac:dyDescent="0.25">
      <c r="B37" s="16"/>
      <c r="C37" s="16"/>
      <c r="D37" s="16"/>
      <c r="E37" s="16"/>
      <c r="F37" s="16"/>
      <c r="G37" s="42"/>
    </row>
    <row r="38" spans="2:7" s="41" customFormat="1" ht="15.75" x14ac:dyDescent="0.25">
      <c r="B38" s="28" t="str">
        <f>Terrap.!B28</f>
        <v>ROBSON DARCIO SOUSA</v>
      </c>
      <c r="D38" s="92"/>
      <c r="F38" s="28"/>
    </row>
    <row r="39" spans="2:7" s="41" customFormat="1" x14ac:dyDescent="0.2">
      <c r="B39" s="31" t="str">
        <f>Terrap.!B29</f>
        <v>ENGº CIVIL CREA: 120.263.916-0</v>
      </c>
      <c r="D39" s="92"/>
      <c r="F39" s="31"/>
    </row>
    <row r="40" spans="2:7" x14ac:dyDescent="0.2">
      <c r="B40" s="40"/>
      <c r="C40" s="40"/>
      <c r="E40" s="40"/>
      <c r="G40" s="40"/>
    </row>
  </sheetData>
  <mergeCells count="27">
    <mergeCell ref="C1:G1"/>
    <mergeCell ref="C2:G2"/>
    <mergeCell ref="A1:B2"/>
    <mergeCell ref="B10:E10"/>
    <mergeCell ref="B9:E9"/>
    <mergeCell ref="G4:G6"/>
    <mergeCell ref="A7:G7"/>
    <mergeCell ref="E4:F6"/>
    <mergeCell ref="E3:F3"/>
    <mergeCell ref="D4:D6"/>
    <mergeCell ref="B6:C6"/>
    <mergeCell ref="B17:E17"/>
    <mergeCell ref="B16:E16"/>
    <mergeCell ref="B11:E11"/>
    <mergeCell ref="B12:E12"/>
    <mergeCell ref="B13:E13"/>
    <mergeCell ref="B14:E14"/>
    <mergeCell ref="B15:E15"/>
    <mergeCell ref="B24:E24"/>
    <mergeCell ref="B25:E25"/>
    <mergeCell ref="B26:E26"/>
    <mergeCell ref="B27:E27"/>
    <mergeCell ref="B19:E19"/>
    <mergeCell ref="B20:E20"/>
    <mergeCell ref="B21:E21"/>
    <mergeCell ref="B22:E22"/>
    <mergeCell ref="B23:E23"/>
  </mergeCells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109"/>
  <sheetViews>
    <sheetView tabSelected="1" view="pageBreakPreview" topLeftCell="A50" zoomScaleSheetLayoutView="100" workbookViewId="0">
      <selection activeCell="I55" sqref="I55"/>
    </sheetView>
  </sheetViews>
  <sheetFormatPr defaultRowHeight="12.75" x14ac:dyDescent="0.2"/>
  <cols>
    <col min="1" max="1" width="17.140625" style="884" customWidth="1"/>
    <col min="2" max="2" width="49.140625" style="594" customWidth="1"/>
    <col min="3" max="3" width="17.85546875" style="594" customWidth="1"/>
    <col min="4" max="4" width="14" style="594" customWidth="1"/>
    <col min="5" max="5" width="12.28515625" style="594" customWidth="1"/>
    <col min="6" max="6" width="12.7109375" style="594" customWidth="1"/>
    <col min="7" max="8" width="9.140625" style="594"/>
    <col min="9" max="9" width="10.140625" style="594" bestFit="1" customWidth="1"/>
    <col min="10" max="16384" width="9.140625" style="594"/>
  </cols>
  <sheetData>
    <row r="1" spans="1:8" ht="31.5" customHeight="1" x14ac:dyDescent="0.2">
      <c r="A1" s="1183" t="s">
        <v>556</v>
      </c>
      <c r="B1" s="1184"/>
      <c r="C1" s="982" t="s">
        <v>54</v>
      </c>
      <c r="D1" s="982"/>
      <c r="E1" s="982"/>
      <c r="F1" s="983"/>
    </row>
    <row r="2" spans="1:8" ht="31.5" customHeight="1" x14ac:dyDescent="0.2">
      <c r="A2" s="1185"/>
      <c r="B2" s="1186"/>
      <c r="C2" s="1142" t="s">
        <v>630</v>
      </c>
      <c r="D2" s="1142"/>
      <c r="E2" s="1142"/>
      <c r="F2" s="1143"/>
    </row>
    <row r="3" spans="1:8" ht="15.75" x14ac:dyDescent="0.2">
      <c r="A3" s="686" t="s">
        <v>55</v>
      </c>
      <c r="B3" s="1506" t="s">
        <v>663</v>
      </c>
      <c r="C3" s="1506"/>
      <c r="D3" s="1506"/>
      <c r="E3" s="1506"/>
      <c r="F3" s="1507"/>
    </row>
    <row r="4" spans="1:8" ht="15.75" x14ac:dyDescent="0.2">
      <c r="A4" s="686" t="s">
        <v>56</v>
      </c>
      <c r="B4" s="688" t="s">
        <v>629</v>
      </c>
      <c r="C4" s="688"/>
      <c r="D4" s="1508" t="s">
        <v>59</v>
      </c>
      <c r="E4" s="1508"/>
      <c r="F4" s="689">
        <v>0.20699999999999999</v>
      </c>
    </row>
    <row r="5" spans="1:8" ht="15.75" customHeight="1" x14ac:dyDescent="0.2">
      <c r="A5" s="686" t="s">
        <v>57</v>
      </c>
      <c r="B5" s="688" t="s">
        <v>630</v>
      </c>
      <c r="C5" s="688"/>
      <c r="D5" s="1268" t="s">
        <v>703</v>
      </c>
      <c r="E5" s="1268"/>
      <c r="F5" s="1269"/>
    </row>
    <row r="6" spans="1:8" ht="24" customHeight="1" thickBot="1" x14ac:dyDescent="0.25">
      <c r="A6" s="687" t="s">
        <v>58</v>
      </c>
      <c r="B6" s="690">
        <v>41980.480000000003</v>
      </c>
      <c r="C6" s="424" t="s">
        <v>60</v>
      </c>
      <c r="D6" s="1270"/>
      <c r="E6" s="1270"/>
      <c r="F6" s="1271"/>
    </row>
    <row r="7" spans="1:8" ht="24.75" customHeight="1" thickBot="1" x14ac:dyDescent="0.25">
      <c r="A7" s="1503" t="s">
        <v>336</v>
      </c>
      <c r="B7" s="1504"/>
      <c r="C7" s="1504"/>
      <c r="D7" s="1504"/>
      <c r="E7" s="1504"/>
      <c r="F7" s="1505"/>
    </row>
    <row r="8" spans="1:8" ht="26.25" customHeight="1" thickBot="1" x14ac:dyDescent="0.25">
      <c r="A8" s="852" t="s">
        <v>547</v>
      </c>
      <c r="B8" s="1516" t="s">
        <v>625</v>
      </c>
      <c r="C8" s="1516"/>
      <c r="D8" s="1516"/>
      <c r="E8" s="1516"/>
      <c r="F8" s="848" t="s">
        <v>48</v>
      </c>
    </row>
    <row r="9" spans="1:8" ht="28.5" customHeight="1" x14ac:dyDescent="0.2">
      <c r="A9" s="221" t="s">
        <v>191</v>
      </c>
      <c r="B9" s="190" t="s">
        <v>510</v>
      </c>
      <c r="C9" s="36" t="s">
        <v>187</v>
      </c>
      <c r="D9" s="36" t="s">
        <v>188</v>
      </c>
      <c r="E9" s="36" t="s">
        <v>189</v>
      </c>
      <c r="F9" s="311" t="s">
        <v>190</v>
      </c>
    </row>
    <row r="10" spans="1:8" ht="28.5" customHeight="1" x14ac:dyDescent="0.2">
      <c r="A10" s="224">
        <v>90778</v>
      </c>
      <c r="B10" s="303" t="s">
        <v>372</v>
      </c>
      <c r="C10" s="37" t="s">
        <v>198</v>
      </c>
      <c r="D10" s="37">
        <v>960</v>
      </c>
      <c r="E10" s="37">
        <v>104.89</v>
      </c>
      <c r="F10" s="825">
        <v>100694.39999999999</v>
      </c>
      <c r="G10" s="594">
        <v>40</v>
      </c>
      <c r="H10" s="594">
        <v>24</v>
      </c>
    </row>
    <row r="11" spans="1:8" ht="28.5" customHeight="1" x14ac:dyDescent="0.2">
      <c r="A11" s="224">
        <v>90780</v>
      </c>
      <c r="B11" s="303" t="s">
        <v>358</v>
      </c>
      <c r="C11" s="37" t="s">
        <v>198</v>
      </c>
      <c r="D11" s="931">
        <v>1440</v>
      </c>
      <c r="E11" s="37">
        <v>31.43</v>
      </c>
      <c r="F11" s="825">
        <v>45259.199999999997</v>
      </c>
      <c r="G11" s="594">
        <v>60</v>
      </c>
    </row>
    <row r="12" spans="1:8" ht="28.5" customHeight="1" x14ac:dyDescent="0.2">
      <c r="A12" s="224">
        <v>90772</v>
      </c>
      <c r="B12" s="303" t="s">
        <v>373</v>
      </c>
      <c r="C12" s="37" t="s">
        <v>198</v>
      </c>
      <c r="D12" s="37">
        <v>2880</v>
      </c>
      <c r="E12" s="37">
        <v>15.68</v>
      </c>
      <c r="F12" s="825">
        <v>45158.400000000001</v>
      </c>
      <c r="G12" s="594">
        <v>120</v>
      </c>
    </row>
    <row r="13" spans="1:8" ht="17.25" customHeight="1" thickBot="1" x14ac:dyDescent="0.25">
      <c r="A13" s="1346" t="s">
        <v>512</v>
      </c>
      <c r="B13" s="1347"/>
      <c r="C13" s="1347"/>
      <c r="D13" s="1347"/>
      <c r="E13" s="1348"/>
      <c r="F13" s="208">
        <v>191112</v>
      </c>
      <c r="H13" s="917">
        <v>4.7300000000000002E-2</v>
      </c>
    </row>
    <row r="14" spans="1:8" ht="16.5" thickBot="1" x14ac:dyDescent="0.25">
      <c r="A14" s="849"/>
      <c r="B14" s="850"/>
      <c r="C14" s="850"/>
      <c r="D14" s="850"/>
      <c r="E14" s="850"/>
      <c r="F14" s="851"/>
    </row>
    <row r="15" spans="1:8" s="853" customFormat="1" ht="30" customHeight="1" thickBot="1" x14ac:dyDescent="0.25">
      <c r="A15" s="852" t="s">
        <v>548</v>
      </c>
      <c r="B15" s="1516" t="s">
        <v>624</v>
      </c>
      <c r="C15" s="1516"/>
      <c r="D15" s="1516"/>
      <c r="E15" s="1516"/>
      <c r="F15" s="848" t="s">
        <v>516</v>
      </c>
    </row>
    <row r="16" spans="1:8" x14ac:dyDescent="0.2">
      <c r="A16" s="1520" t="s">
        <v>623</v>
      </c>
      <c r="B16" s="1521"/>
      <c r="C16" s="1521"/>
      <c r="D16" s="1521"/>
      <c r="E16" s="1521"/>
      <c r="F16" s="1522"/>
    </row>
    <row r="17" spans="1:6" x14ac:dyDescent="0.2">
      <c r="A17" s="221" t="s">
        <v>191</v>
      </c>
      <c r="B17" s="190" t="s">
        <v>186</v>
      </c>
      <c r="C17" s="36" t="s">
        <v>187</v>
      </c>
      <c r="D17" s="36" t="s">
        <v>188</v>
      </c>
      <c r="E17" s="36" t="s">
        <v>189</v>
      </c>
      <c r="F17" s="311" t="s">
        <v>190</v>
      </c>
    </row>
    <row r="18" spans="1:6" ht="38.25" x14ac:dyDescent="0.2">
      <c r="A18" s="224" t="s">
        <v>593</v>
      </c>
      <c r="B18" s="303" t="s">
        <v>426</v>
      </c>
      <c r="C18" s="37" t="s">
        <v>193</v>
      </c>
      <c r="D18" s="912" t="s">
        <v>617</v>
      </c>
      <c r="E18" s="192">
        <v>181.16</v>
      </c>
      <c r="F18" s="730">
        <v>1.123</v>
      </c>
    </row>
    <row r="19" spans="1:6" ht="63.75" x14ac:dyDescent="0.2">
      <c r="A19" s="224" t="s">
        <v>594</v>
      </c>
      <c r="B19" s="303" t="s">
        <v>357</v>
      </c>
      <c r="C19" s="37" t="s">
        <v>193</v>
      </c>
      <c r="D19" s="912" t="s">
        <v>595</v>
      </c>
      <c r="E19" s="192">
        <v>181.2</v>
      </c>
      <c r="F19" s="730">
        <v>7.1999999999999995E-2</v>
      </c>
    </row>
    <row r="20" spans="1:6" ht="63.75" x14ac:dyDescent="0.2">
      <c r="A20" s="224" t="s">
        <v>567</v>
      </c>
      <c r="B20" s="303" t="s">
        <v>425</v>
      </c>
      <c r="C20" s="37" t="s">
        <v>195</v>
      </c>
      <c r="D20" s="912" t="s">
        <v>618</v>
      </c>
      <c r="E20" s="192">
        <v>32.630000000000003</v>
      </c>
      <c r="F20" s="730">
        <v>8.7999999999999995E-2</v>
      </c>
    </row>
    <row r="21" spans="1:6" ht="51" x14ac:dyDescent="0.2">
      <c r="A21" s="224" t="s">
        <v>596</v>
      </c>
      <c r="B21" s="303" t="s">
        <v>554</v>
      </c>
      <c r="C21" s="37" t="s">
        <v>193</v>
      </c>
      <c r="D21" s="912" t="s">
        <v>597</v>
      </c>
      <c r="E21" s="192">
        <v>186.09</v>
      </c>
      <c r="F21" s="730">
        <v>9.2999999999999999E-2</v>
      </c>
    </row>
    <row r="22" spans="1:6" ht="51" x14ac:dyDescent="0.2">
      <c r="A22" s="224" t="s">
        <v>598</v>
      </c>
      <c r="B22" s="303" t="s">
        <v>599</v>
      </c>
      <c r="C22" s="37" t="s">
        <v>195</v>
      </c>
      <c r="D22" s="912" t="s">
        <v>619</v>
      </c>
      <c r="E22" s="192">
        <v>35.729999999999997</v>
      </c>
      <c r="F22" s="730">
        <v>9.2999999999999999E-2</v>
      </c>
    </row>
    <row r="23" spans="1:6" ht="38.25" x14ac:dyDescent="0.2">
      <c r="A23" s="224" t="s">
        <v>600</v>
      </c>
      <c r="B23" s="303" t="s">
        <v>601</v>
      </c>
      <c r="C23" s="37" t="s">
        <v>195</v>
      </c>
      <c r="D23" s="912" t="s">
        <v>620</v>
      </c>
      <c r="E23" s="192">
        <v>27.18</v>
      </c>
      <c r="F23" s="730">
        <v>6.5000000000000002E-2</v>
      </c>
    </row>
    <row r="24" spans="1:6" ht="38.25" x14ac:dyDescent="0.2">
      <c r="A24" s="224" t="s">
        <v>602</v>
      </c>
      <c r="B24" s="303" t="s">
        <v>603</v>
      </c>
      <c r="C24" s="37" t="s">
        <v>193</v>
      </c>
      <c r="D24" s="912" t="s">
        <v>604</v>
      </c>
      <c r="E24" s="192">
        <v>81.97</v>
      </c>
      <c r="F24" s="730">
        <v>5.7000000000000002E-2</v>
      </c>
    </row>
    <row r="25" spans="1:6" ht="51" x14ac:dyDescent="0.2">
      <c r="A25" s="224" t="s">
        <v>605</v>
      </c>
      <c r="B25" s="303" t="s">
        <v>606</v>
      </c>
      <c r="C25" s="37" t="s">
        <v>193</v>
      </c>
      <c r="D25" s="912" t="s">
        <v>607</v>
      </c>
      <c r="E25" s="192">
        <v>133.88</v>
      </c>
      <c r="F25" s="730">
        <v>0.13400000000000001</v>
      </c>
    </row>
    <row r="26" spans="1:6" ht="51" x14ac:dyDescent="0.2">
      <c r="A26" s="224" t="s">
        <v>608</v>
      </c>
      <c r="B26" s="303" t="s">
        <v>609</v>
      </c>
      <c r="C26" s="37" t="s">
        <v>195</v>
      </c>
      <c r="D26" s="912" t="s">
        <v>621</v>
      </c>
      <c r="E26" s="192">
        <v>45.17</v>
      </c>
      <c r="F26" s="730">
        <v>9.5000000000000001E-2</v>
      </c>
    </row>
    <row r="27" spans="1:6" x14ac:dyDescent="0.2">
      <c r="A27" s="221"/>
      <c r="B27" s="190" t="s">
        <v>200</v>
      </c>
      <c r="C27" s="190"/>
      <c r="D27" s="304"/>
      <c r="E27" s="190"/>
      <c r="F27" s="731">
        <v>1.82</v>
      </c>
    </row>
    <row r="28" spans="1:6" x14ac:dyDescent="0.2">
      <c r="A28" s="221" t="s">
        <v>191</v>
      </c>
      <c r="B28" s="190" t="s">
        <v>201</v>
      </c>
      <c r="C28" s="36" t="s">
        <v>187</v>
      </c>
      <c r="D28" s="306" t="s">
        <v>188</v>
      </c>
      <c r="E28" s="36" t="s">
        <v>189</v>
      </c>
      <c r="F28" s="311" t="s">
        <v>190</v>
      </c>
    </row>
    <row r="29" spans="1:6" x14ac:dyDescent="0.2">
      <c r="A29" s="224">
        <v>88316</v>
      </c>
      <c r="B29" s="305" t="s">
        <v>301</v>
      </c>
      <c r="C29" s="37" t="s">
        <v>202</v>
      </c>
      <c r="D29" s="913" t="s">
        <v>622</v>
      </c>
      <c r="E29" s="192">
        <v>16.420000000000002</v>
      </c>
      <c r="F29" s="730">
        <v>0.41099999999999998</v>
      </c>
    </row>
    <row r="30" spans="1:6" x14ac:dyDescent="0.2">
      <c r="A30" s="221"/>
      <c r="B30" s="190" t="s">
        <v>203</v>
      </c>
      <c r="C30" s="190"/>
      <c r="D30" s="914"/>
      <c r="E30" s="190"/>
      <c r="F30" s="731">
        <v>0.41099999999999998</v>
      </c>
    </row>
    <row r="31" spans="1:6" x14ac:dyDescent="0.2">
      <c r="A31" s="224"/>
      <c r="B31" s="305"/>
      <c r="C31" s="305"/>
      <c r="D31" s="915"/>
      <c r="E31" s="305"/>
      <c r="F31" s="312"/>
    </row>
    <row r="32" spans="1:6" x14ac:dyDescent="0.2">
      <c r="A32" s="221" t="s">
        <v>191</v>
      </c>
      <c r="B32" s="190" t="s">
        <v>204</v>
      </c>
      <c r="C32" s="190" t="s">
        <v>187</v>
      </c>
      <c r="D32" s="306" t="s">
        <v>188</v>
      </c>
      <c r="E32" s="190" t="s">
        <v>189</v>
      </c>
      <c r="F32" s="313" t="s">
        <v>190</v>
      </c>
    </row>
    <row r="33" spans="1:9" ht="25.5" x14ac:dyDescent="0.2">
      <c r="A33" s="224" t="s">
        <v>702</v>
      </c>
      <c r="B33" s="303" t="s">
        <v>205</v>
      </c>
      <c r="C33" s="37" t="s">
        <v>206</v>
      </c>
      <c r="D33" s="912" t="s">
        <v>610</v>
      </c>
      <c r="E33" s="903">
        <v>2.2599999999999998</v>
      </c>
      <c r="F33" s="730">
        <v>7.0060000000000002</v>
      </c>
    </row>
    <row r="34" spans="1:9" ht="25.5" x14ac:dyDescent="0.2">
      <c r="A34" s="224" t="s">
        <v>562</v>
      </c>
      <c r="B34" s="303" t="s">
        <v>563</v>
      </c>
      <c r="C34" s="37" t="s">
        <v>517</v>
      </c>
      <c r="D34" s="912" t="s">
        <v>611</v>
      </c>
      <c r="E34" s="903">
        <v>81.42</v>
      </c>
      <c r="F34" s="730">
        <v>0.44800000000000001</v>
      </c>
    </row>
    <row r="35" spans="1:9" ht="25.5" x14ac:dyDescent="0.2">
      <c r="A35" s="224" t="s">
        <v>612</v>
      </c>
      <c r="B35" s="303" t="s">
        <v>613</v>
      </c>
      <c r="C35" s="37" t="s">
        <v>517</v>
      </c>
      <c r="D35" s="912" t="s">
        <v>614</v>
      </c>
      <c r="E35" s="903">
        <v>63.77</v>
      </c>
      <c r="F35" s="730">
        <v>0.73299999999999998</v>
      </c>
    </row>
    <row r="36" spans="1:9" ht="25.5" x14ac:dyDescent="0.2">
      <c r="A36" s="224" t="s">
        <v>615</v>
      </c>
      <c r="B36" s="307" t="s">
        <v>616</v>
      </c>
      <c r="C36" s="301" t="s">
        <v>517</v>
      </c>
      <c r="D36" s="916" t="s">
        <v>611</v>
      </c>
      <c r="E36" s="194">
        <v>60.87</v>
      </c>
      <c r="F36" s="730">
        <v>0.33500000000000002</v>
      </c>
      <c r="H36" s="854"/>
      <c r="I36" s="854"/>
    </row>
    <row r="37" spans="1:9" x14ac:dyDescent="0.2">
      <c r="A37" s="314"/>
      <c r="B37" s="308" t="s">
        <v>208</v>
      </c>
      <c r="C37" s="308"/>
      <c r="D37" s="308"/>
      <c r="E37" s="308"/>
      <c r="F37" s="732">
        <v>8.5220000000000002</v>
      </c>
    </row>
    <row r="38" spans="1:9" x14ac:dyDescent="0.2">
      <c r="A38" s="221"/>
      <c r="B38" s="190" t="s">
        <v>209</v>
      </c>
      <c r="C38" s="190"/>
      <c r="D38" s="190"/>
      <c r="E38" s="190"/>
      <c r="F38" s="222">
        <v>10.75</v>
      </c>
    </row>
    <row r="39" spans="1:9" x14ac:dyDescent="0.2">
      <c r="A39" s="221"/>
      <c r="B39" s="190" t="s">
        <v>210</v>
      </c>
      <c r="C39" s="190"/>
      <c r="D39" s="190"/>
      <c r="E39" s="195"/>
      <c r="F39" s="222">
        <v>0</v>
      </c>
    </row>
    <row r="40" spans="1:9" ht="13.5" thickBot="1" x14ac:dyDescent="0.25">
      <c r="A40" s="205"/>
      <c r="B40" s="206" t="s">
        <v>211</v>
      </c>
      <c r="C40" s="206"/>
      <c r="D40" s="206"/>
      <c r="E40" s="206"/>
      <c r="F40" s="208">
        <v>10.75</v>
      </c>
    </row>
    <row r="41" spans="1:9" ht="6" customHeight="1" thickBot="1" x14ac:dyDescent="0.25">
      <c r="A41" s="368"/>
      <c r="B41" s="309"/>
      <c r="C41" s="309"/>
      <c r="D41" s="309"/>
      <c r="E41" s="309"/>
      <c r="F41" s="369"/>
    </row>
    <row r="42" spans="1:9" s="853" customFormat="1" ht="20.25" customHeight="1" thickBot="1" x14ac:dyDescent="0.25">
      <c r="A42" s="852" t="s">
        <v>549</v>
      </c>
      <c r="B42" s="1498" t="s">
        <v>628</v>
      </c>
      <c r="C42" s="1498"/>
      <c r="D42" s="1498"/>
      <c r="E42" s="1498"/>
      <c r="F42" s="848" t="s">
        <v>516</v>
      </c>
    </row>
    <row r="43" spans="1:9" x14ac:dyDescent="0.2">
      <c r="A43" s="1517" t="s">
        <v>564</v>
      </c>
      <c r="B43" s="1518"/>
      <c r="C43" s="1518"/>
      <c r="D43" s="1518"/>
      <c r="E43" s="1518"/>
      <c r="F43" s="1519"/>
    </row>
    <row r="44" spans="1:9" x14ac:dyDescent="0.2">
      <c r="A44" s="221" t="s">
        <v>363</v>
      </c>
      <c r="B44" s="190" t="s">
        <v>186</v>
      </c>
      <c r="C44" s="36" t="s">
        <v>187</v>
      </c>
      <c r="D44" s="36" t="s">
        <v>188</v>
      </c>
      <c r="E44" s="36" t="s">
        <v>189</v>
      </c>
      <c r="F44" s="311" t="s">
        <v>190</v>
      </c>
    </row>
    <row r="45" spans="1:9" ht="38.25" x14ac:dyDescent="0.2">
      <c r="A45" s="224" t="s">
        <v>565</v>
      </c>
      <c r="B45" s="303" t="s">
        <v>566</v>
      </c>
      <c r="C45" s="37" t="s">
        <v>193</v>
      </c>
      <c r="D45" s="902">
        <v>1.6999999999999999E-3</v>
      </c>
      <c r="E45" s="192">
        <v>4.46</v>
      </c>
      <c r="F45" s="730">
        <v>8.0000000000000002E-3</v>
      </c>
    </row>
    <row r="46" spans="1:9" ht="63.75" x14ac:dyDescent="0.2">
      <c r="A46" s="224">
        <v>83362</v>
      </c>
      <c r="B46" s="303" t="s">
        <v>357</v>
      </c>
      <c r="C46" s="37" t="s">
        <v>193</v>
      </c>
      <c r="D46" s="310">
        <v>1E-3</v>
      </c>
      <c r="E46" s="192">
        <v>181.2</v>
      </c>
      <c r="F46" s="730">
        <v>0.18099999999999999</v>
      </c>
    </row>
    <row r="47" spans="1:9" ht="63.75" x14ac:dyDescent="0.2">
      <c r="A47" s="224" t="s">
        <v>567</v>
      </c>
      <c r="B47" s="303" t="s">
        <v>425</v>
      </c>
      <c r="C47" s="37" t="s">
        <v>195</v>
      </c>
      <c r="D47" s="310">
        <v>1E-3</v>
      </c>
      <c r="E47" s="192">
        <v>32.630000000000003</v>
      </c>
      <c r="F47" s="730">
        <v>3.3000000000000002E-2</v>
      </c>
    </row>
    <row r="48" spans="1:9" ht="38.25" x14ac:dyDescent="0.2">
      <c r="A48" s="224" t="s">
        <v>568</v>
      </c>
      <c r="B48" s="303" t="s">
        <v>569</v>
      </c>
      <c r="C48" s="37" t="s">
        <v>193</v>
      </c>
      <c r="D48" s="901">
        <v>1.6999999999999999E-3</v>
      </c>
      <c r="E48" s="192">
        <v>77.989999999999995</v>
      </c>
      <c r="F48" s="730">
        <v>0.13300000000000001</v>
      </c>
    </row>
    <row r="49" spans="1:6" ht="38.25" x14ac:dyDescent="0.2">
      <c r="A49" s="224" t="s">
        <v>570</v>
      </c>
      <c r="B49" s="303" t="s">
        <v>571</v>
      </c>
      <c r="C49" s="37" t="s">
        <v>195</v>
      </c>
      <c r="D49" s="901">
        <v>1.4E-3</v>
      </c>
      <c r="E49" s="192">
        <v>25.05</v>
      </c>
      <c r="F49" s="730">
        <v>3.5000000000000003E-2</v>
      </c>
    </row>
    <row r="50" spans="1:6" x14ac:dyDescent="0.2">
      <c r="A50" s="221"/>
      <c r="B50" s="190" t="s">
        <v>200</v>
      </c>
      <c r="C50" s="190"/>
      <c r="D50" s="304"/>
      <c r="E50" s="190"/>
      <c r="F50" s="731">
        <v>0.39</v>
      </c>
    </row>
    <row r="51" spans="1:6" x14ac:dyDescent="0.2">
      <c r="A51" s="221" t="s">
        <v>363</v>
      </c>
      <c r="B51" s="190" t="s">
        <v>201</v>
      </c>
      <c r="C51" s="36" t="s">
        <v>187</v>
      </c>
      <c r="D51" s="306" t="s">
        <v>188</v>
      </c>
      <c r="E51" s="36" t="s">
        <v>189</v>
      </c>
      <c r="F51" s="311" t="s">
        <v>190</v>
      </c>
    </row>
    <row r="52" spans="1:6" x14ac:dyDescent="0.2">
      <c r="A52" s="224">
        <v>88316</v>
      </c>
      <c r="B52" s="305" t="s">
        <v>301</v>
      </c>
      <c r="C52" s="37" t="s">
        <v>202</v>
      </c>
      <c r="D52" s="193">
        <v>2E-3</v>
      </c>
      <c r="E52" s="192">
        <v>16.420000000000002</v>
      </c>
      <c r="F52" s="730">
        <v>3.3000000000000002E-2</v>
      </c>
    </row>
    <row r="53" spans="1:6" x14ac:dyDescent="0.2">
      <c r="A53" s="221"/>
      <c r="B53" s="190" t="s">
        <v>203</v>
      </c>
      <c r="C53" s="190"/>
      <c r="D53" s="304"/>
      <c r="E53" s="190"/>
      <c r="F53" s="731">
        <v>3.3000000000000002E-2</v>
      </c>
    </row>
    <row r="54" spans="1:6" x14ac:dyDescent="0.2">
      <c r="A54" s="221" t="s">
        <v>363</v>
      </c>
      <c r="B54" s="190" t="s">
        <v>204</v>
      </c>
      <c r="C54" s="190" t="s">
        <v>187</v>
      </c>
      <c r="D54" s="304" t="s">
        <v>188</v>
      </c>
      <c r="E54" s="190" t="s">
        <v>189</v>
      </c>
      <c r="F54" s="313" t="s">
        <v>190</v>
      </c>
    </row>
    <row r="55" spans="1:6" x14ac:dyDescent="0.2">
      <c r="A55" s="224" t="s">
        <v>651</v>
      </c>
      <c r="B55" s="303" t="s">
        <v>348</v>
      </c>
      <c r="C55" s="37" t="s">
        <v>335</v>
      </c>
      <c r="D55" s="310">
        <v>1.2</v>
      </c>
      <c r="E55" s="903">
        <v>4.4400000000000004</v>
      </c>
      <c r="F55" s="730">
        <v>5.3280000000000003</v>
      </c>
    </row>
    <row r="56" spans="1:6" x14ac:dyDescent="0.2">
      <c r="A56" s="221"/>
      <c r="B56" s="190" t="s">
        <v>208</v>
      </c>
      <c r="C56" s="190"/>
      <c r="D56" s="190"/>
      <c r="E56" s="190"/>
      <c r="F56" s="731">
        <v>5.3280000000000003</v>
      </c>
    </row>
    <row r="57" spans="1:6" x14ac:dyDescent="0.2">
      <c r="A57" s="221"/>
      <c r="B57" s="190" t="s">
        <v>209</v>
      </c>
      <c r="C57" s="190"/>
      <c r="D57" s="190"/>
      <c r="E57" s="190"/>
      <c r="F57" s="222">
        <v>5.75</v>
      </c>
    </row>
    <row r="58" spans="1:6" x14ac:dyDescent="0.2">
      <c r="A58" s="221"/>
      <c r="B58" s="190" t="s">
        <v>210</v>
      </c>
      <c r="C58" s="190"/>
      <c r="D58" s="190"/>
      <c r="E58" s="195"/>
      <c r="F58" s="222">
        <v>0</v>
      </c>
    </row>
    <row r="59" spans="1:6" ht="13.5" thickBot="1" x14ac:dyDescent="0.25">
      <c r="A59" s="205"/>
      <c r="B59" s="206" t="s">
        <v>211</v>
      </c>
      <c r="C59" s="206"/>
      <c r="D59" s="206"/>
      <c r="E59" s="206"/>
      <c r="F59" s="208">
        <v>5.75</v>
      </c>
    </row>
    <row r="60" spans="1:6" ht="13.5" thickBot="1" x14ac:dyDescent="0.25">
      <c r="A60" s="845"/>
      <c r="B60" s="846"/>
      <c r="C60" s="846"/>
      <c r="D60" s="846"/>
      <c r="E60" s="846"/>
      <c r="F60" s="847"/>
    </row>
    <row r="61" spans="1:6" s="853" customFormat="1" ht="36" customHeight="1" thickBot="1" x14ac:dyDescent="0.25">
      <c r="A61" s="852" t="s">
        <v>550</v>
      </c>
      <c r="B61" s="1498" t="s">
        <v>704</v>
      </c>
      <c r="C61" s="1498"/>
      <c r="D61" s="1498"/>
      <c r="E61" s="1498"/>
      <c r="F61" s="848" t="s">
        <v>516</v>
      </c>
    </row>
    <row r="62" spans="1:6" x14ac:dyDescent="0.2">
      <c r="A62" s="1499" t="s">
        <v>523</v>
      </c>
      <c r="B62" s="1499"/>
      <c r="C62" s="1499"/>
      <c r="D62" s="1499"/>
      <c r="E62" s="1499"/>
      <c r="F62" s="1500"/>
    </row>
    <row r="63" spans="1:6" x14ac:dyDescent="0.2">
      <c r="A63" s="1501" t="s">
        <v>368</v>
      </c>
      <c r="B63" s="1501"/>
      <c r="C63" s="1501"/>
      <c r="D63" s="1501"/>
      <c r="E63" s="1501"/>
      <c r="F63" s="1502"/>
    </row>
    <row r="64" spans="1:6" ht="25.5" x14ac:dyDescent="0.2">
      <c r="A64" s="855" t="s">
        <v>337</v>
      </c>
      <c r="B64" s="856" t="s">
        <v>473</v>
      </c>
      <c r="C64" s="857" t="s">
        <v>369</v>
      </c>
      <c r="D64" s="858">
        <v>16.8</v>
      </c>
      <c r="E64" s="859">
        <v>5</v>
      </c>
      <c r="F64" s="860">
        <v>84</v>
      </c>
    </row>
    <row r="65" spans="1:6" x14ac:dyDescent="0.2">
      <c r="A65" s="855">
        <v>34353</v>
      </c>
      <c r="B65" s="856" t="s">
        <v>474</v>
      </c>
      <c r="C65" s="857" t="s">
        <v>475</v>
      </c>
      <c r="D65" s="858">
        <v>4</v>
      </c>
      <c r="E65" s="859">
        <v>1.1000000000000001</v>
      </c>
      <c r="F65" s="860">
        <v>4.4000000000000004</v>
      </c>
    </row>
    <row r="66" spans="1:6" x14ac:dyDescent="0.2">
      <c r="A66" s="855">
        <v>34357</v>
      </c>
      <c r="B66" s="856" t="s">
        <v>476</v>
      </c>
      <c r="C66" s="857" t="s">
        <v>475</v>
      </c>
      <c r="D66" s="858">
        <v>0.52</v>
      </c>
      <c r="E66" s="859">
        <v>3.5</v>
      </c>
      <c r="F66" s="860">
        <v>1.82</v>
      </c>
    </row>
    <row r="67" spans="1:6" x14ac:dyDescent="0.2">
      <c r="A67" s="855"/>
      <c r="B67" s="856"/>
      <c r="C67" s="857"/>
      <c r="D67" s="858"/>
      <c r="E67" s="859"/>
      <c r="F67" s="860"/>
    </row>
    <row r="68" spans="1:6" x14ac:dyDescent="0.2">
      <c r="A68" s="1501" t="s">
        <v>370</v>
      </c>
      <c r="B68" s="1501"/>
      <c r="C68" s="1501"/>
      <c r="D68" s="1501"/>
      <c r="E68" s="1501"/>
      <c r="F68" s="1502"/>
    </row>
    <row r="69" spans="1:6" ht="25.5" x14ac:dyDescent="0.2">
      <c r="A69" s="861">
        <v>88242</v>
      </c>
      <c r="B69" s="862" t="s">
        <v>382</v>
      </c>
      <c r="C69" s="863" t="s">
        <v>198</v>
      </c>
      <c r="D69" s="864">
        <v>1.2</v>
      </c>
      <c r="E69" s="865">
        <v>16.34</v>
      </c>
      <c r="F69" s="866">
        <v>19.61</v>
      </c>
    </row>
    <row r="70" spans="1:6" x14ac:dyDescent="0.2">
      <c r="A70" s="861">
        <v>88309</v>
      </c>
      <c r="B70" s="862" t="s">
        <v>383</v>
      </c>
      <c r="C70" s="863" t="s">
        <v>198</v>
      </c>
      <c r="D70" s="864">
        <v>0.5</v>
      </c>
      <c r="E70" s="865">
        <v>20.32</v>
      </c>
      <c r="F70" s="866">
        <v>10.16</v>
      </c>
    </row>
    <row r="71" spans="1:6" x14ac:dyDescent="0.2">
      <c r="A71" s="1497" t="s">
        <v>371</v>
      </c>
      <c r="B71" s="1497"/>
      <c r="C71" s="1497"/>
      <c r="D71" s="1497"/>
      <c r="E71" s="1497"/>
      <c r="F71" s="867">
        <v>119.99</v>
      </c>
    </row>
    <row r="72" spans="1:6" ht="13.5" thickBot="1" x14ac:dyDescent="0.25">
      <c r="A72" s="868"/>
      <c r="B72" s="868"/>
      <c r="C72" s="868"/>
      <c r="D72" s="868"/>
      <c r="E72" s="868"/>
      <c r="F72" s="869"/>
    </row>
    <row r="73" spans="1:6" ht="14.25" x14ac:dyDescent="0.2">
      <c r="A73" s="1510" t="s">
        <v>524</v>
      </c>
      <c r="B73" s="1510"/>
      <c r="C73" s="1510"/>
      <c r="D73" s="1510"/>
      <c r="E73" s="1510"/>
      <c r="F73" s="1511"/>
    </row>
    <row r="74" spans="1:6" x14ac:dyDescent="0.2">
      <c r="A74" s="870" t="s">
        <v>477</v>
      </c>
      <c r="B74" s="871" t="s">
        <v>478</v>
      </c>
      <c r="C74" s="872" t="s">
        <v>573</v>
      </c>
      <c r="D74" s="1512" t="s">
        <v>479</v>
      </c>
      <c r="E74" s="1513"/>
      <c r="F74" s="873" t="s">
        <v>367</v>
      </c>
    </row>
    <row r="75" spans="1:6" x14ac:dyDescent="0.2">
      <c r="A75" s="877">
        <v>43063</v>
      </c>
      <c r="B75" s="874" t="s">
        <v>572</v>
      </c>
      <c r="C75" s="875" t="s">
        <v>574</v>
      </c>
      <c r="D75" s="1514" t="s">
        <v>705</v>
      </c>
      <c r="E75" s="1515"/>
      <c r="F75" s="876">
        <v>3.5</v>
      </c>
    </row>
    <row r="76" spans="1:6" x14ac:dyDescent="0.2">
      <c r="A76" s="877">
        <v>43063</v>
      </c>
      <c r="B76" s="874" t="s">
        <v>577</v>
      </c>
      <c r="C76" s="875" t="s">
        <v>576</v>
      </c>
      <c r="D76" s="1514" t="s">
        <v>575</v>
      </c>
      <c r="E76" s="1515"/>
      <c r="F76" s="876">
        <v>5</v>
      </c>
    </row>
    <row r="77" spans="1:6" x14ac:dyDescent="0.2">
      <c r="A77" s="877">
        <v>43063</v>
      </c>
      <c r="B77" s="878" t="s">
        <v>578</v>
      </c>
      <c r="C77" s="875" t="s">
        <v>580</v>
      </c>
      <c r="D77" s="1514" t="s">
        <v>579</v>
      </c>
      <c r="E77" s="1515"/>
      <c r="F77" s="876">
        <v>10.91</v>
      </c>
    </row>
    <row r="78" spans="1:6" ht="13.5" thickBot="1" x14ac:dyDescent="0.25">
      <c r="A78" s="1509"/>
      <c r="B78" s="1509"/>
      <c r="C78" s="1509"/>
      <c r="D78" s="1509"/>
      <c r="E78" s="1509"/>
      <c r="F78" s="879">
        <v>5</v>
      </c>
    </row>
    <row r="79" spans="1:6" ht="13.5" thickBot="1" x14ac:dyDescent="0.25">
      <c r="A79" s="880"/>
      <c r="B79" s="880"/>
      <c r="C79" s="880"/>
      <c r="D79" s="880"/>
      <c r="E79" s="880"/>
      <c r="F79" s="881"/>
    </row>
    <row r="80" spans="1:6" ht="28.5" customHeight="1" thickBot="1" x14ac:dyDescent="0.25">
      <c r="A80" s="852" t="s">
        <v>551</v>
      </c>
      <c r="B80" s="1498" t="s">
        <v>533</v>
      </c>
      <c r="C80" s="1498"/>
      <c r="D80" s="1498"/>
      <c r="E80" s="1498"/>
      <c r="F80" s="848" t="s">
        <v>48</v>
      </c>
    </row>
    <row r="81" spans="1:6" x14ac:dyDescent="0.2">
      <c r="A81" s="1499" t="s">
        <v>525</v>
      </c>
      <c r="B81" s="1499"/>
      <c r="C81" s="1499"/>
      <c r="D81" s="1499"/>
      <c r="E81" s="1499"/>
      <c r="F81" s="1500"/>
    </row>
    <row r="82" spans="1:6" x14ac:dyDescent="0.2">
      <c r="A82" s="1501" t="s">
        <v>368</v>
      </c>
      <c r="B82" s="1501"/>
      <c r="C82" s="1501"/>
      <c r="D82" s="1501"/>
      <c r="E82" s="1501"/>
      <c r="F82" s="1502"/>
    </row>
    <row r="83" spans="1:6" ht="38.25" x14ac:dyDescent="0.2">
      <c r="A83" s="855">
        <v>4417</v>
      </c>
      <c r="B83" s="856" t="s">
        <v>526</v>
      </c>
      <c r="C83" s="857" t="s">
        <v>518</v>
      </c>
      <c r="D83" s="858">
        <v>1.4</v>
      </c>
      <c r="E83" s="859">
        <v>2.73</v>
      </c>
      <c r="F83" s="860">
        <v>3.82</v>
      </c>
    </row>
    <row r="84" spans="1:6" ht="38.25" x14ac:dyDescent="0.2">
      <c r="A84" s="855">
        <v>4433</v>
      </c>
      <c r="B84" s="856" t="s">
        <v>527</v>
      </c>
      <c r="C84" s="857" t="s">
        <v>518</v>
      </c>
      <c r="D84" s="858">
        <v>3</v>
      </c>
      <c r="E84" s="859">
        <v>6.29</v>
      </c>
      <c r="F84" s="860">
        <v>18.87</v>
      </c>
    </row>
    <row r="85" spans="1:6" x14ac:dyDescent="0.2">
      <c r="A85" s="855">
        <v>7288</v>
      </c>
      <c r="B85" s="856" t="s">
        <v>528</v>
      </c>
      <c r="C85" s="857" t="s">
        <v>529</v>
      </c>
      <c r="D85" s="858">
        <v>0.33</v>
      </c>
      <c r="E85" s="859">
        <v>23.62</v>
      </c>
      <c r="F85" s="860">
        <v>7.79</v>
      </c>
    </row>
    <row r="86" spans="1:6" x14ac:dyDescent="0.2">
      <c r="A86" s="1497" t="s">
        <v>371</v>
      </c>
      <c r="B86" s="1497"/>
      <c r="C86" s="1497"/>
      <c r="D86" s="1497"/>
      <c r="E86" s="1497"/>
      <c r="F86" s="867">
        <v>30.48</v>
      </c>
    </row>
    <row r="87" spans="1:6" x14ac:dyDescent="0.2">
      <c r="A87" s="1501" t="s">
        <v>370</v>
      </c>
      <c r="B87" s="1501"/>
      <c r="C87" s="1501"/>
      <c r="D87" s="1501"/>
      <c r="E87" s="1501"/>
      <c r="F87" s="1502"/>
    </row>
    <row r="88" spans="1:6" ht="25.5" x14ac:dyDescent="0.2">
      <c r="A88" s="861">
        <v>88262</v>
      </c>
      <c r="B88" s="862" t="s">
        <v>530</v>
      </c>
      <c r="C88" s="863" t="s">
        <v>198</v>
      </c>
      <c r="D88" s="864">
        <v>1</v>
      </c>
      <c r="E88" s="865">
        <v>20.2</v>
      </c>
      <c r="F88" s="866">
        <v>20.2</v>
      </c>
    </row>
    <row r="89" spans="1:6" x14ac:dyDescent="0.2">
      <c r="A89" s="861">
        <v>88310</v>
      </c>
      <c r="B89" s="862" t="s">
        <v>531</v>
      </c>
      <c r="C89" s="863" t="s">
        <v>198</v>
      </c>
      <c r="D89" s="864">
        <v>0.5</v>
      </c>
      <c r="E89" s="865">
        <v>20.239999999999998</v>
      </c>
      <c r="F89" s="866">
        <v>10.119999999999999</v>
      </c>
    </row>
    <row r="90" spans="1:6" x14ac:dyDescent="0.2">
      <c r="A90" s="861">
        <v>88316</v>
      </c>
      <c r="B90" s="862" t="s">
        <v>301</v>
      </c>
      <c r="C90" s="863" t="s">
        <v>198</v>
      </c>
      <c r="D90" s="864">
        <v>2</v>
      </c>
      <c r="E90" s="865">
        <v>16.420000000000002</v>
      </c>
      <c r="F90" s="866">
        <v>32.840000000000003</v>
      </c>
    </row>
    <row r="91" spans="1:6" x14ac:dyDescent="0.2">
      <c r="A91" s="1497" t="s">
        <v>371</v>
      </c>
      <c r="B91" s="1497"/>
      <c r="C91" s="1497"/>
      <c r="D91" s="1497"/>
      <c r="E91" s="1497"/>
      <c r="F91" s="867">
        <v>63.16</v>
      </c>
    </row>
    <row r="92" spans="1:6" x14ac:dyDescent="0.2">
      <c r="A92" s="1497" t="s">
        <v>532</v>
      </c>
      <c r="B92" s="1497"/>
      <c r="C92" s="1497"/>
      <c r="D92" s="1497"/>
      <c r="E92" s="1497"/>
      <c r="F92" s="867">
        <v>93.64</v>
      </c>
    </row>
    <row r="93" spans="1:6" ht="13.5" thickBot="1" x14ac:dyDescent="0.25">
      <c r="A93" s="880"/>
      <c r="B93" s="880"/>
      <c r="C93" s="880"/>
      <c r="D93" s="880"/>
      <c r="E93" s="880"/>
      <c r="F93" s="881"/>
    </row>
    <row r="94" spans="1:6" ht="34.5" customHeight="1" thickBot="1" x14ac:dyDescent="0.25">
      <c r="A94" s="852" t="s">
        <v>552</v>
      </c>
      <c r="B94" s="1498" t="s">
        <v>542</v>
      </c>
      <c r="C94" s="1498"/>
      <c r="D94" s="1498"/>
      <c r="E94" s="1498"/>
      <c r="F94" s="848" t="s">
        <v>516</v>
      </c>
    </row>
    <row r="95" spans="1:6" x14ac:dyDescent="0.2">
      <c r="A95" s="1499" t="s">
        <v>538</v>
      </c>
      <c r="B95" s="1499"/>
      <c r="C95" s="1499"/>
      <c r="D95" s="1499"/>
      <c r="E95" s="1499"/>
      <c r="F95" s="1500"/>
    </row>
    <row r="96" spans="1:6" x14ac:dyDescent="0.2">
      <c r="A96" s="1501" t="s">
        <v>368</v>
      </c>
      <c r="B96" s="1501"/>
      <c r="C96" s="1501"/>
      <c r="D96" s="1501"/>
      <c r="E96" s="1501"/>
      <c r="F96" s="1502"/>
    </row>
    <row r="97" spans="1:6" ht="38.25" x14ac:dyDescent="0.2">
      <c r="A97" s="855">
        <v>11950</v>
      </c>
      <c r="B97" s="856" t="s">
        <v>539</v>
      </c>
      <c r="C97" s="857" t="s">
        <v>540</v>
      </c>
      <c r="D97" s="858">
        <v>4</v>
      </c>
      <c r="E97" s="859">
        <v>0.18</v>
      </c>
      <c r="F97" s="860">
        <v>0.72</v>
      </c>
    </row>
    <row r="98" spans="1:6" ht="25.5" x14ac:dyDescent="0.2">
      <c r="A98" s="855">
        <v>34723</v>
      </c>
      <c r="B98" s="856" t="s">
        <v>541</v>
      </c>
      <c r="C98" s="857" t="s">
        <v>516</v>
      </c>
      <c r="D98" s="858">
        <v>1</v>
      </c>
      <c r="E98" s="859">
        <v>554.4</v>
      </c>
      <c r="F98" s="860">
        <v>554.4</v>
      </c>
    </row>
    <row r="99" spans="1:6" x14ac:dyDescent="0.2">
      <c r="A99" s="855"/>
      <c r="B99" s="856"/>
      <c r="C99" s="857"/>
      <c r="D99" s="858"/>
      <c r="E99" s="859"/>
      <c r="F99" s="860"/>
    </row>
    <row r="100" spans="1:6" x14ac:dyDescent="0.2">
      <c r="A100" s="1497" t="s">
        <v>371</v>
      </c>
      <c r="B100" s="1497"/>
      <c r="C100" s="1497"/>
      <c r="D100" s="1497"/>
      <c r="E100" s="1497"/>
      <c r="F100" s="867">
        <v>555.12</v>
      </c>
    </row>
    <row r="101" spans="1:6" x14ac:dyDescent="0.2">
      <c r="A101" s="1501" t="s">
        <v>370</v>
      </c>
      <c r="B101" s="1501"/>
      <c r="C101" s="1501"/>
      <c r="D101" s="1501"/>
      <c r="E101" s="1501"/>
      <c r="F101" s="1502"/>
    </row>
    <row r="102" spans="1:6" x14ac:dyDescent="0.2">
      <c r="A102" s="861">
        <v>88316</v>
      </c>
      <c r="B102" s="862" t="s">
        <v>301</v>
      </c>
      <c r="C102" s="863" t="s">
        <v>198</v>
      </c>
      <c r="D102" s="864">
        <v>0.4</v>
      </c>
      <c r="E102" s="865">
        <v>16.420000000000002</v>
      </c>
      <c r="F102" s="866">
        <v>6.57</v>
      </c>
    </row>
    <row r="103" spans="1:6" x14ac:dyDescent="0.2">
      <c r="A103" s="1497" t="s">
        <v>371</v>
      </c>
      <c r="B103" s="1497"/>
      <c r="C103" s="1497"/>
      <c r="D103" s="1497"/>
      <c r="E103" s="1497"/>
      <c r="F103" s="867">
        <v>6.57</v>
      </c>
    </row>
    <row r="104" spans="1:6" x14ac:dyDescent="0.2">
      <c r="A104" s="1497" t="s">
        <v>532</v>
      </c>
      <c r="B104" s="1497"/>
      <c r="C104" s="1497"/>
      <c r="D104" s="1497"/>
      <c r="E104" s="1497"/>
      <c r="F104" s="867">
        <v>561.69000000000005</v>
      </c>
    </row>
    <row r="105" spans="1:6" ht="45.75" customHeight="1" x14ac:dyDescent="0.2">
      <c r="A105" s="880"/>
      <c r="B105" s="880"/>
      <c r="C105" s="880"/>
      <c r="D105" s="880"/>
      <c r="E105" s="880"/>
      <c r="F105" s="881"/>
    </row>
    <row r="106" spans="1:6" x14ac:dyDescent="0.2">
      <c r="A106" s="196"/>
      <c r="B106" s="882" t="s">
        <v>177</v>
      </c>
      <c r="C106" s="197"/>
      <c r="D106" s="197"/>
      <c r="E106" s="197"/>
      <c r="F106" s="197"/>
    </row>
    <row r="107" spans="1:6" x14ac:dyDescent="0.2">
      <c r="A107" s="196"/>
      <c r="B107" s="883" t="s">
        <v>537</v>
      </c>
      <c r="C107" s="197"/>
      <c r="D107" s="197"/>
      <c r="E107" s="197"/>
      <c r="F107" s="197"/>
    </row>
    <row r="108" spans="1:6" x14ac:dyDescent="0.2">
      <c r="A108" s="196"/>
      <c r="B108" s="882"/>
      <c r="C108" s="197"/>
      <c r="D108" s="197"/>
      <c r="E108" s="197"/>
      <c r="F108" s="197"/>
    </row>
    <row r="109" spans="1:6" x14ac:dyDescent="0.2">
      <c r="A109" s="196"/>
      <c r="B109" s="197"/>
      <c r="C109" s="197"/>
      <c r="D109" s="197"/>
      <c r="E109" s="197"/>
      <c r="F109" s="197"/>
    </row>
  </sheetData>
  <mergeCells count="38">
    <mergeCell ref="B8:E8"/>
    <mergeCell ref="A13:E13"/>
    <mergeCell ref="A82:F82"/>
    <mergeCell ref="A87:F87"/>
    <mergeCell ref="A91:E91"/>
    <mergeCell ref="A86:E86"/>
    <mergeCell ref="A43:F43"/>
    <mergeCell ref="A16:F16"/>
    <mergeCell ref="B15:E15"/>
    <mergeCell ref="B42:E42"/>
    <mergeCell ref="A92:E92"/>
    <mergeCell ref="A78:E78"/>
    <mergeCell ref="B61:E61"/>
    <mergeCell ref="B80:E80"/>
    <mergeCell ref="A81:F81"/>
    <mergeCell ref="A62:F62"/>
    <mergeCell ref="A63:F63"/>
    <mergeCell ref="A68:F68"/>
    <mergeCell ref="A71:E71"/>
    <mergeCell ref="A73:F73"/>
    <mergeCell ref="D74:E74"/>
    <mergeCell ref="D75:E75"/>
    <mergeCell ref="D76:E76"/>
    <mergeCell ref="D77:E77"/>
    <mergeCell ref="C1:F1"/>
    <mergeCell ref="C2:F2"/>
    <mergeCell ref="A1:B2"/>
    <mergeCell ref="A7:F7"/>
    <mergeCell ref="B3:F3"/>
    <mergeCell ref="D4:E4"/>
    <mergeCell ref="D5:F6"/>
    <mergeCell ref="A103:E103"/>
    <mergeCell ref="A104:E104"/>
    <mergeCell ref="B94:E94"/>
    <mergeCell ref="A95:F95"/>
    <mergeCell ref="A96:F96"/>
    <mergeCell ref="A100:E100"/>
    <mergeCell ref="A101:F101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74" orientation="portrait" r:id="rId1"/>
  <rowBreaks count="2" manualBreakCount="2">
    <brk id="40" max="5" man="1"/>
    <brk id="79" max="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27"/>
  <sheetViews>
    <sheetView view="pageBreakPreview" zoomScale="106" zoomScaleSheetLayoutView="106" workbookViewId="0">
      <selection activeCell="B17" sqref="B17:G17"/>
    </sheetView>
  </sheetViews>
  <sheetFormatPr defaultRowHeight="12.75" x14ac:dyDescent="0.2"/>
  <cols>
    <col min="1" max="1" width="11.7109375" style="109" customWidth="1"/>
    <col min="2" max="2" width="60.7109375" style="109" customWidth="1"/>
    <col min="3" max="3" width="12.140625" style="109" customWidth="1"/>
    <col min="4" max="4" width="18" style="109" customWidth="1"/>
    <col min="5" max="5" width="17.5703125" style="109" customWidth="1"/>
    <col min="6" max="6" width="11.85546875" style="109" customWidth="1"/>
    <col min="7" max="7" width="10.7109375" style="109" customWidth="1"/>
    <col min="8" max="16384" width="9.140625" style="109"/>
  </cols>
  <sheetData>
    <row r="1" spans="1:8" ht="48" customHeight="1" x14ac:dyDescent="0.2">
      <c r="A1" s="1301" t="str">
        <f>Terrap.!A1</f>
        <v>PRISMA                                                                                                                     ENGENHARIA</v>
      </c>
      <c r="B1" s="1302"/>
      <c r="C1" s="1302"/>
      <c r="D1" s="982" t="str">
        <f>Terrap.!C1</f>
        <v>ESTADO DE MATO GROSSO</v>
      </c>
      <c r="E1" s="982"/>
      <c r="F1" s="982"/>
      <c r="G1" s="982"/>
      <c r="H1" s="983"/>
    </row>
    <row r="2" spans="1:8" ht="48" customHeight="1" x14ac:dyDescent="0.2">
      <c r="A2" s="1303"/>
      <c r="B2" s="1304"/>
      <c r="C2" s="1304"/>
      <c r="D2" s="1142" t="str">
        <f>Terrap.!C2</f>
        <v>PREFEITURA MUNICIPAL DE CLAUDIA</v>
      </c>
      <c r="E2" s="1142"/>
      <c r="F2" s="1142"/>
      <c r="G2" s="1142"/>
      <c r="H2" s="1143"/>
    </row>
    <row r="3" spans="1:8" ht="19.5" customHeight="1" x14ac:dyDescent="0.2">
      <c r="A3" s="399" t="s">
        <v>55</v>
      </c>
      <c r="B3" s="987" t="str">
        <f>Terrap.!B3</f>
        <v>PAVIMENTAÇÃO ASFALTICA E DRENAGEM DE AGUAS PLUVIAIS</v>
      </c>
      <c r="C3" s="987"/>
      <c r="D3" s="987"/>
      <c r="E3" s="987"/>
      <c r="F3" s="1144" t="s">
        <v>59</v>
      </c>
      <c r="G3" s="1144"/>
      <c r="H3" s="411">
        <f>Terrap.!F6</f>
        <v>0.20699999999999999</v>
      </c>
    </row>
    <row r="4" spans="1:8" ht="19.5" customHeight="1" x14ac:dyDescent="0.2">
      <c r="A4" s="399" t="s">
        <v>56</v>
      </c>
      <c r="B4" s="987" t="str">
        <f>Terrap.!B4</f>
        <v>DIVERSAS RUAS - PERIMETRO URBANO</v>
      </c>
      <c r="C4" s="987"/>
      <c r="D4" s="987"/>
      <c r="E4" s="987"/>
      <c r="F4" s="991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  <c r="G4" s="991"/>
      <c r="H4" s="992"/>
    </row>
    <row r="5" spans="1:8" ht="19.5" customHeight="1" x14ac:dyDescent="0.2">
      <c r="A5" s="399" t="s">
        <v>57</v>
      </c>
      <c r="B5" s="410" t="str">
        <f>Terrap.!B5</f>
        <v>PREFEITURA MUNICIPAL DE CLAUDIA</v>
      </c>
      <c r="C5" s="410"/>
      <c r="D5" s="401" t="s">
        <v>374</v>
      </c>
      <c r="E5" s="425" t="str">
        <f>Terrap.!F5</f>
        <v>JANEIRO / 2019</v>
      </c>
      <c r="F5" s="991"/>
      <c r="G5" s="991"/>
      <c r="H5" s="992"/>
    </row>
    <row r="6" spans="1:8" ht="19.5" customHeight="1" thickBot="1" x14ac:dyDescent="0.25">
      <c r="A6" s="402" t="s">
        <v>58</v>
      </c>
      <c r="B6" s="990">
        <f>Terrap.!B6</f>
        <v>41980.480000000003</v>
      </c>
      <c r="C6" s="990"/>
      <c r="D6" s="990"/>
      <c r="E6" s="403" t="s">
        <v>60</v>
      </c>
      <c r="F6" s="993"/>
      <c r="G6" s="993"/>
      <c r="H6" s="994"/>
    </row>
    <row r="7" spans="1:8" ht="13.5" thickBot="1" x14ac:dyDescent="0.25"/>
    <row r="8" spans="1:8" ht="27" customHeight="1" thickBot="1" x14ac:dyDescent="0.25">
      <c r="A8" s="1523" t="s">
        <v>336</v>
      </c>
      <c r="B8" s="1524"/>
      <c r="C8" s="1524"/>
      <c r="D8" s="1524"/>
      <c r="E8" s="1524"/>
      <c r="F8" s="1524"/>
      <c r="G8" s="1524"/>
      <c r="H8" s="1525"/>
    </row>
    <row r="9" spans="1:8" ht="16.5" thickBot="1" x14ac:dyDescent="0.25">
      <c r="A9" s="1355" t="s">
        <v>508</v>
      </c>
      <c r="B9" s="1356"/>
      <c r="C9" s="1356"/>
      <c r="D9" s="1356"/>
      <c r="E9" s="1356"/>
      <c r="F9" s="1356"/>
      <c r="G9" s="1357"/>
      <c r="H9" s="302"/>
    </row>
    <row r="10" spans="1:8" ht="15.75" x14ac:dyDescent="0.2">
      <c r="A10" s="822" t="s">
        <v>509</v>
      </c>
      <c r="B10" s="823" t="s">
        <v>510</v>
      </c>
      <c r="C10" s="823" t="s">
        <v>187</v>
      </c>
      <c r="D10" s="823" t="s">
        <v>511</v>
      </c>
      <c r="E10" s="823" t="s">
        <v>67</v>
      </c>
      <c r="F10" s="823" t="s">
        <v>189</v>
      </c>
      <c r="G10" s="824" t="s">
        <v>190</v>
      </c>
      <c r="H10" s="302"/>
    </row>
    <row r="11" spans="1:8" ht="25.5" x14ac:dyDescent="0.2">
      <c r="A11" s="224">
        <v>90778</v>
      </c>
      <c r="B11" s="303" t="s">
        <v>372</v>
      </c>
      <c r="C11" s="37" t="s">
        <v>198</v>
      </c>
      <c r="D11" s="37" t="s">
        <v>558</v>
      </c>
      <c r="E11" s="37">
        <f>10*10</f>
        <v>100</v>
      </c>
      <c r="F11" s="37">
        <v>117.55</v>
      </c>
      <c r="G11" s="825">
        <f>TRUNC((E11*F11),3)</f>
        <v>11755</v>
      </c>
      <c r="H11" s="302"/>
    </row>
    <row r="12" spans="1:8" ht="15.75" x14ac:dyDescent="0.2">
      <c r="A12" s="224">
        <v>90780</v>
      </c>
      <c r="B12" s="303" t="s">
        <v>358</v>
      </c>
      <c r="C12" s="37" t="s">
        <v>198</v>
      </c>
      <c r="D12" s="37" t="s">
        <v>557</v>
      </c>
      <c r="E12" s="839">
        <f>20*10</f>
        <v>200</v>
      </c>
      <c r="F12" s="37">
        <v>33.75</v>
      </c>
      <c r="G12" s="825">
        <f>TRUNC((E12*F12),3)</f>
        <v>6750</v>
      </c>
      <c r="H12" s="302"/>
    </row>
    <row r="13" spans="1:8" ht="25.5" x14ac:dyDescent="0.2">
      <c r="A13" s="224">
        <v>90772</v>
      </c>
      <c r="B13" s="303" t="s">
        <v>373</v>
      </c>
      <c r="C13" s="37" t="s">
        <v>198</v>
      </c>
      <c r="D13" s="37" t="s">
        <v>586</v>
      </c>
      <c r="E13" s="37">
        <f>50*10</f>
        <v>500</v>
      </c>
      <c r="F13" s="37">
        <v>19.5</v>
      </c>
      <c r="G13" s="825">
        <f>TRUNC((E13*F13),3)</f>
        <v>9750</v>
      </c>
      <c r="H13" s="302"/>
    </row>
    <row r="14" spans="1:8" ht="15.75" x14ac:dyDescent="0.2">
      <c r="A14" s="224"/>
      <c r="B14" s="303"/>
      <c r="C14" s="37"/>
      <c r="D14" s="37"/>
      <c r="E14" s="191"/>
      <c r="F14" s="192"/>
      <c r="G14" s="825"/>
      <c r="H14" s="302"/>
    </row>
    <row r="15" spans="1:8" ht="15.75" x14ac:dyDescent="0.2">
      <c r="A15" s="224"/>
      <c r="B15" s="303"/>
      <c r="C15" s="37"/>
      <c r="D15" s="37"/>
      <c r="E15" s="191"/>
      <c r="F15" s="192"/>
      <c r="G15" s="825"/>
      <c r="H15" s="302"/>
    </row>
    <row r="16" spans="1:8" ht="15.75" x14ac:dyDescent="0.2">
      <c r="A16" s="224"/>
      <c r="B16" s="303"/>
      <c r="C16" s="37"/>
      <c r="D16" s="37"/>
      <c r="E16" s="191"/>
      <c r="F16" s="192"/>
      <c r="G16" s="825"/>
      <c r="H16" s="302"/>
    </row>
    <row r="17" spans="1:9" ht="16.5" thickBot="1" x14ac:dyDescent="0.25">
      <c r="A17" s="205"/>
      <c r="B17" s="1346" t="s">
        <v>512</v>
      </c>
      <c r="C17" s="1347"/>
      <c r="D17" s="1347"/>
      <c r="E17" s="1347"/>
      <c r="F17" s="1348"/>
      <c r="G17" s="208">
        <f>SUM(G11:G16)</f>
        <v>28255</v>
      </c>
      <c r="H17" s="302"/>
    </row>
    <row r="18" spans="1:9" ht="15.75" x14ac:dyDescent="0.2">
      <c r="A18" s="302"/>
      <c r="B18" s="302"/>
      <c r="C18" s="302"/>
      <c r="D18" s="302"/>
      <c r="E18" s="302"/>
      <c r="F18" s="302"/>
      <c r="G18" s="302"/>
      <c r="H18" s="302"/>
    </row>
    <row r="19" spans="1:9" ht="15.75" x14ac:dyDescent="0.2">
      <c r="A19" s="302"/>
      <c r="B19" s="302"/>
      <c r="C19" s="302"/>
      <c r="D19" s="302"/>
      <c r="E19" s="302"/>
      <c r="F19" s="302"/>
      <c r="G19" s="302"/>
      <c r="H19" s="302"/>
    </row>
    <row r="22" spans="1:9" ht="26.25" customHeight="1" x14ac:dyDescent="0.2"/>
    <row r="23" spans="1:9" x14ac:dyDescent="0.2">
      <c r="C23" s="315" t="str">
        <f>Terrap.!B28</f>
        <v>ROBSON DARCIO SOUSA</v>
      </c>
    </row>
    <row r="24" spans="1:9" x14ac:dyDescent="0.2">
      <c r="C24" s="109" t="str">
        <f>Terrap.!B29</f>
        <v>ENGº CIVIL CREA: 120.263.916-0</v>
      </c>
    </row>
    <row r="27" spans="1:9" x14ac:dyDescent="0.2">
      <c r="E27" s="109">
        <v>47.357050000000001</v>
      </c>
      <c r="G27" s="471">
        <f>Orçam.!M90</f>
        <v>-3367885.17</v>
      </c>
      <c r="I27" s="613">
        <f>Resumo!F12</f>
        <v>4.7300000000000002E-2</v>
      </c>
    </row>
  </sheetData>
  <mergeCells count="11">
    <mergeCell ref="A9:G9"/>
    <mergeCell ref="B17:F17"/>
    <mergeCell ref="A8:H8"/>
    <mergeCell ref="A1:C2"/>
    <mergeCell ref="D1:H1"/>
    <mergeCell ref="D2:H2"/>
    <mergeCell ref="B3:E3"/>
    <mergeCell ref="F3:G3"/>
    <mergeCell ref="B4:E4"/>
    <mergeCell ref="F4:H6"/>
    <mergeCell ref="B6:D6"/>
  </mergeCells>
  <pageMargins left="0.51181102362204722" right="0.51181102362204722" top="0.78740157480314965" bottom="0.78740157480314965" header="0.31496062992125984" footer="0.31496062992125984"/>
  <pageSetup paperSize="9" scale="9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0"/>
  <sheetViews>
    <sheetView view="pageBreakPreview" zoomScale="112" zoomScaleSheetLayoutView="112" workbookViewId="0">
      <selection activeCell="B18" sqref="B18"/>
    </sheetView>
  </sheetViews>
  <sheetFormatPr defaultRowHeight="12.75" x14ac:dyDescent="0.2"/>
  <cols>
    <col min="1" max="1" width="14.140625" style="466" customWidth="1"/>
    <col min="2" max="2" width="63.5703125" style="434" customWidth="1"/>
    <col min="3" max="3" width="9.140625" style="434"/>
    <col min="4" max="4" width="18.42578125" style="434" customWidth="1"/>
    <col min="5" max="5" width="10.42578125" style="434" customWidth="1"/>
    <col min="6" max="6" width="12.140625" style="434" customWidth="1"/>
    <col min="7" max="16384" width="9.140625" style="434"/>
  </cols>
  <sheetData>
    <row r="1" spans="1:7" ht="15.75" x14ac:dyDescent="0.2">
      <c r="A1" s="981" t="str">
        <f>Terrap.!C1</f>
        <v>ESTADO DE MATO GROSSO</v>
      </c>
      <c r="B1" s="982"/>
      <c r="C1" s="982"/>
      <c r="D1" s="982"/>
      <c r="E1" s="982"/>
      <c r="F1" s="982"/>
      <c r="G1" s="982"/>
    </row>
    <row r="2" spans="1:7" ht="15.75" x14ac:dyDescent="0.2">
      <c r="A2" s="984" t="str">
        <f>Terrap.!C2</f>
        <v>PREFEITURA MUNICIPAL DE CLAUDIA</v>
      </c>
      <c r="B2" s="985"/>
      <c r="C2" s="985"/>
      <c r="D2" s="985"/>
      <c r="E2" s="985"/>
      <c r="F2" s="985"/>
      <c r="G2" s="985"/>
    </row>
    <row r="3" spans="1:7" ht="15" x14ac:dyDescent="0.2">
      <c r="A3" s="429" t="s">
        <v>55</v>
      </c>
      <c r="B3" s="1061" t="str">
        <f>Terrap.!B3</f>
        <v>PAVIMENTAÇÃO ASFALTICA E DRENAGEM DE AGUAS PLUVIAIS</v>
      </c>
      <c r="C3" s="1062"/>
      <c r="D3" s="1076"/>
      <c r="E3" s="1144" t="s">
        <v>59</v>
      </c>
      <c r="F3" s="1144"/>
      <c r="G3" s="411">
        <f>Terrap.!F6</f>
        <v>0.20699999999999999</v>
      </c>
    </row>
    <row r="4" spans="1:7" ht="15" x14ac:dyDescent="0.2">
      <c r="A4" s="429" t="s">
        <v>56</v>
      </c>
      <c r="B4" s="1061" t="str">
        <f>Terrap.!B4</f>
        <v>DIVERSAS RUAS - PERIMETRO URBANO</v>
      </c>
      <c r="C4" s="1062"/>
      <c r="D4" s="1076"/>
      <c r="E4" s="1067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  <c r="F4" s="1068"/>
      <c r="G4" s="1068"/>
    </row>
    <row r="5" spans="1:7" ht="15" x14ac:dyDescent="0.2">
      <c r="A5" s="429" t="s">
        <v>57</v>
      </c>
      <c r="B5" s="410" t="str">
        <f>Terrap.!B5</f>
        <v>PREFEITURA MUNICIPAL DE CLAUDIA</v>
      </c>
      <c r="C5" s="401" t="s">
        <v>374</v>
      </c>
      <c r="D5" s="425" t="str">
        <f>Terrap.!F5</f>
        <v>JANEIRO / 2019</v>
      </c>
      <c r="E5" s="1070"/>
      <c r="F5" s="1071"/>
      <c r="G5" s="1071"/>
    </row>
    <row r="6" spans="1:7" ht="15.75" thickBot="1" x14ac:dyDescent="0.25">
      <c r="A6" s="467" t="s">
        <v>58</v>
      </c>
      <c r="B6" s="1077">
        <f>Terrap.!B6</f>
        <v>41980.480000000003</v>
      </c>
      <c r="C6" s="1079"/>
      <c r="D6" s="403" t="s">
        <v>60</v>
      </c>
      <c r="E6" s="1073"/>
      <c r="F6" s="1074"/>
      <c r="G6" s="1074"/>
    </row>
    <row r="7" spans="1:7" x14ac:dyDescent="0.2">
      <c r="A7" s="1531" t="s">
        <v>377</v>
      </c>
      <c r="B7" s="1532"/>
      <c r="C7" s="1532"/>
      <c r="D7" s="1532"/>
      <c r="E7" s="1532"/>
      <c r="F7" s="1532"/>
      <c r="G7" s="1533"/>
    </row>
    <row r="8" spans="1:7" ht="13.5" thickBot="1" x14ac:dyDescent="0.25">
      <c r="A8" s="1534"/>
      <c r="B8" s="1535"/>
      <c r="C8" s="1535"/>
      <c r="D8" s="1535"/>
      <c r="E8" s="1535"/>
      <c r="F8" s="1535"/>
      <c r="G8" s="1536"/>
    </row>
    <row r="9" spans="1:7" ht="15.75" thickBot="1" x14ac:dyDescent="0.25">
      <c r="A9" s="1526"/>
      <c r="B9" s="1527"/>
      <c r="C9" s="1527"/>
      <c r="D9" s="1527"/>
      <c r="E9" s="1527"/>
      <c r="F9" s="1527"/>
      <c r="G9" s="1527"/>
    </row>
    <row r="10" spans="1:7" ht="36" customHeight="1" x14ac:dyDescent="0.2">
      <c r="A10" s="462" t="s">
        <v>350</v>
      </c>
      <c r="B10" s="1528" t="s">
        <v>351</v>
      </c>
      <c r="C10" s="1529"/>
      <c r="D10" s="1529"/>
      <c r="E10" s="1529"/>
      <c r="F10" s="1530"/>
      <c r="G10" s="468" t="s">
        <v>48</v>
      </c>
    </row>
    <row r="11" spans="1:7" ht="15" x14ac:dyDescent="0.2">
      <c r="A11" s="469" t="s">
        <v>296</v>
      </c>
      <c r="B11" s="437" t="s">
        <v>352</v>
      </c>
      <c r="C11" s="438"/>
      <c r="D11" s="438"/>
      <c r="E11" s="439"/>
      <c r="F11" s="451"/>
      <c r="G11" s="456"/>
    </row>
    <row r="12" spans="1:7" s="466" customFormat="1" ht="15" x14ac:dyDescent="0.2">
      <c r="A12" s="463" t="s">
        <v>363</v>
      </c>
      <c r="B12" s="443" t="s">
        <v>378</v>
      </c>
      <c r="C12" s="443" t="s">
        <v>187</v>
      </c>
      <c r="D12" s="444" t="s">
        <v>188</v>
      </c>
      <c r="E12" s="443" t="s">
        <v>189</v>
      </c>
      <c r="F12" s="443" t="s">
        <v>190</v>
      </c>
      <c r="G12" s="470"/>
    </row>
    <row r="13" spans="1:7" ht="15" x14ac:dyDescent="0.2">
      <c r="A13" s="449">
        <v>90780</v>
      </c>
      <c r="B13" s="440" t="s">
        <v>358</v>
      </c>
      <c r="C13" s="378" t="s">
        <v>202</v>
      </c>
      <c r="D13" s="445">
        <v>29.76</v>
      </c>
      <c r="E13" s="380">
        <v>25.12</v>
      </c>
      <c r="F13" s="380">
        <f>E13*D13</f>
        <v>747.57</v>
      </c>
      <c r="G13" s="456"/>
    </row>
    <row r="14" spans="1:7" ht="15" x14ac:dyDescent="0.2">
      <c r="A14" s="463"/>
      <c r="B14" s="442" t="s">
        <v>203</v>
      </c>
      <c r="C14" s="442"/>
      <c r="D14" s="446"/>
      <c r="E14" s="442"/>
      <c r="F14" s="452">
        <f>F13</f>
        <v>747.57</v>
      </c>
      <c r="G14" s="456"/>
    </row>
    <row r="15" spans="1:7" ht="15" x14ac:dyDescent="0.2">
      <c r="A15" s="449"/>
      <c r="B15" s="440"/>
      <c r="C15" s="440"/>
      <c r="D15" s="441"/>
      <c r="E15" s="440"/>
      <c r="F15" s="440"/>
      <c r="G15" s="456"/>
    </row>
    <row r="16" spans="1:7" ht="15" x14ac:dyDescent="0.2">
      <c r="A16" s="463" t="s">
        <v>363</v>
      </c>
      <c r="B16" s="442" t="s">
        <v>204</v>
      </c>
      <c r="C16" s="443" t="s">
        <v>187</v>
      </c>
      <c r="D16" s="444" t="s">
        <v>188</v>
      </c>
      <c r="E16" s="442" t="s">
        <v>189</v>
      </c>
      <c r="F16" s="442" t="s">
        <v>190</v>
      </c>
      <c r="G16" s="456"/>
    </row>
    <row r="17" spans="1:7" ht="15" x14ac:dyDescent="0.2">
      <c r="A17" s="449" t="s">
        <v>353</v>
      </c>
      <c r="B17" s="447" t="s">
        <v>354</v>
      </c>
      <c r="C17" s="378" t="s">
        <v>31</v>
      </c>
      <c r="D17" s="448">
        <v>1.5960000000000001</v>
      </c>
      <c r="E17" s="380">
        <v>523.39</v>
      </c>
      <c r="F17" s="380">
        <f t="shared" ref="F17:F22" si="0">D17*E17</f>
        <v>835.33</v>
      </c>
      <c r="G17" s="456"/>
    </row>
    <row r="18" spans="1:7" ht="75" x14ac:dyDescent="0.2">
      <c r="A18" s="449">
        <v>84219</v>
      </c>
      <c r="B18" s="457" t="s">
        <v>359</v>
      </c>
      <c r="C18" s="378" t="s">
        <v>6</v>
      </c>
      <c r="D18" s="448">
        <v>5.32</v>
      </c>
      <c r="E18" s="458">
        <v>26.22</v>
      </c>
      <c r="F18" s="380">
        <f t="shared" si="0"/>
        <v>139.49</v>
      </c>
      <c r="G18" s="456"/>
    </row>
    <row r="19" spans="1:7" ht="30" x14ac:dyDescent="0.2">
      <c r="A19" s="449">
        <v>83519</v>
      </c>
      <c r="B19" s="447" t="s">
        <v>361</v>
      </c>
      <c r="C19" s="378" t="s">
        <v>31</v>
      </c>
      <c r="D19" s="448">
        <v>2.82</v>
      </c>
      <c r="E19" s="380">
        <v>389.94</v>
      </c>
      <c r="F19" s="380">
        <f t="shared" si="0"/>
        <v>1099.6300000000001</v>
      </c>
      <c r="G19" s="456"/>
    </row>
    <row r="20" spans="1:7" ht="30" x14ac:dyDescent="0.2">
      <c r="A20" s="450">
        <v>73406</v>
      </c>
      <c r="B20" s="377" t="s">
        <v>360</v>
      </c>
      <c r="C20" s="378" t="s">
        <v>31</v>
      </c>
      <c r="D20" s="379">
        <v>1.5960000000000001</v>
      </c>
      <c r="E20" s="380">
        <v>411.9</v>
      </c>
      <c r="F20" s="380">
        <f t="shared" si="0"/>
        <v>657.39</v>
      </c>
      <c r="G20" s="456"/>
    </row>
    <row r="21" spans="1:7" ht="90" x14ac:dyDescent="0.2">
      <c r="A21" s="459">
        <v>87901</v>
      </c>
      <c r="B21" s="457" t="s">
        <v>362</v>
      </c>
      <c r="C21" s="378" t="s">
        <v>6</v>
      </c>
      <c r="D21" s="379">
        <v>28.2</v>
      </c>
      <c r="E21" s="460">
        <v>5.0199999999999996</v>
      </c>
      <c r="F21" s="380">
        <f t="shared" si="0"/>
        <v>141.56</v>
      </c>
      <c r="G21" s="456"/>
    </row>
    <row r="22" spans="1:7" ht="45" x14ac:dyDescent="0.2">
      <c r="A22" s="450">
        <v>84072</v>
      </c>
      <c r="B22" s="377" t="s">
        <v>356</v>
      </c>
      <c r="C22" s="378" t="s">
        <v>6</v>
      </c>
      <c r="D22" s="379">
        <v>14.1</v>
      </c>
      <c r="E22" s="380">
        <v>24.41</v>
      </c>
      <c r="F22" s="380">
        <f t="shared" si="0"/>
        <v>344.18</v>
      </c>
      <c r="G22" s="456"/>
    </row>
    <row r="23" spans="1:7" ht="15" x14ac:dyDescent="0.2">
      <c r="A23" s="450"/>
      <c r="B23" s="377"/>
      <c r="C23" s="378"/>
      <c r="D23" s="379"/>
      <c r="E23" s="380"/>
      <c r="F23" s="453"/>
      <c r="G23" s="456"/>
    </row>
    <row r="24" spans="1:7" ht="15" x14ac:dyDescent="0.2">
      <c r="A24" s="463"/>
      <c r="B24" s="442" t="s">
        <v>208</v>
      </c>
      <c r="C24" s="442"/>
      <c r="D24" s="442"/>
      <c r="E24" s="442"/>
      <c r="F24" s="452">
        <f>SUM(F17:F22)</f>
        <v>3217.58</v>
      </c>
      <c r="G24" s="456"/>
    </row>
    <row r="25" spans="1:7" ht="15" x14ac:dyDescent="0.2">
      <c r="A25" s="463"/>
      <c r="B25" s="442" t="s">
        <v>355</v>
      </c>
      <c r="C25" s="442"/>
      <c r="D25" s="442"/>
      <c r="E25" s="442"/>
      <c r="F25" s="452">
        <f>F14</f>
        <v>747.57</v>
      </c>
      <c r="G25" s="456"/>
    </row>
    <row r="26" spans="1:7" ht="15.75" thickBot="1" x14ac:dyDescent="0.25">
      <c r="A26" s="464"/>
      <c r="B26" s="454" t="s">
        <v>211</v>
      </c>
      <c r="C26" s="454"/>
      <c r="D26" s="454"/>
      <c r="E26" s="454"/>
      <c r="F26" s="455">
        <f>F24+F25</f>
        <v>3965.15</v>
      </c>
      <c r="G26" s="461"/>
    </row>
    <row r="27" spans="1:7" x14ac:dyDescent="0.2">
      <c r="A27" s="465"/>
      <c r="B27" s="373"/>
      <c r="C27" s="393"/>
      <c r="D27" s="374"/>
      <c r="E27" s="375"/>
      <c r="F27" s="376"/>
    </row>
    <row r="29" spans="1:7" x14ac:dyDescent="0.2">
      <c r="B29" s="434" t="str">
        <f>Terrap.!B28</f>
        <v>ROBSON DARCIO SOUSA</v>
      </c>
    </row>
    <row r="30" spans="1:7" x14ac:dyDescent="0.2">
      <c r="B30" s="434" t="str">
        <f>Terrap.!B29</f>
        <v>ENGº CIVIL CREA: 120.263.916-0</v>
      </c>
    </row>
  </sheetData>
  <mergeCells count="10">
    <mergeCell ref="A9:G9"/>
    <mergeCell ref="B3:D3"/>
    <mergeCell ref="B4:D4"/>
    <mergeCell ref="B10:F10"/>
    <mergeCell ref="A1:G1"/>
    <mergeCell ref="A2:G2"/>
    <mergeCell ref="E3:F3"/>
    <mergeCell ref="E4:G6"/>
    <mergeCell ref="B6:C6"/>
    <mergeCell ref="A7:G8"/>
  </mergeCells>
  <pageMargins left="0.511811024" right="0.511811024" top="0.78740157499999996" bottom="0.78740157499999996" header="0.31496062000000002" footer="0.31496062000000002"/>
  <pageSetup paperSize="9" scale="6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R57"/>
  <sheetViews>
    <sheetView view="pageBreakPreview" topLeftCell="B1" zoomScaleSheetLayoutView="100" workbookViewId="0">
      <selection activeCell="N36" sqref="N36:O36"/>
    </sheetView>
  </sheetViews>
  <sheetFormatPr defaultRowHeight="12.75" x14ac:dyDescent="0.2"/>
  <cols>
    <col min="1" max="1" width="10" style="47" bestFit="1" customWidth="1"/>
    <col min="2" max="2" width="29.42578125" style="4" customWidth="1"/>
    <col min="3" max="3" width="8" style="47" bestFit="1" customWidth="1"/>
    <col min="4" max="4" width="12.140625" style="47" customWidth="1"/>
    <col min="5" max="5" width="8.5703125" style="47" customWidth="1"/>
    <col min="6" max="6" width="8.28515625" style="26" customWidth="1"/>
    <col min="7" max="7" width="14" style="26" customWidth="1"/>
    <col min="8" max="8" width="12" style="26" bestFit="1" customWidth="1"/>
    <col min="9" max="9" width="14.28515625" style="26" bestFit="1" customWidth="1"/>
    <col min="10" max="10" width="9.28515625" style="26" bestFit="1" customWidth="1"/>
    <col min="11" max="11" width="12.28515625" style="26" bestFit="1" customWidth="1"/>
    <col min="12" max="12" width="9.28515625" style="26" bestFit="1" customWidth="1"/>
    <col min="13" max="13" width="11.42578125" style="26" customWidth="1"/>
    <col min="14" max="14" width="9.28515625" style="26" bestFit="1" customWidth="1"/>
    <col min="15" max="15" width="11.7109375" style="26" customWidth="1"/>
    <col min="16" max="16" width="11.85546875" style="56" customWidth="1"/>
    <col min="17" max="18" width="11.85546875" style="47" customWidth="1"/>
    <col min="19" max="27" width="11.85546875" customWidth="1"/>
  </cols>
  <sheetData>
    <row r="1" spans="1:18" x14ac:dyDescent="0.2">
      <c r="A1" s="48" t="s">
        <v>54</v>
      </c>
      <c r="B1" s="48"/>
      <c r="C1" s="48"/>
      <c r="D1" s="48"/>
      <c r="E1" s="48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8" x14ac:dyDescent="0.2">
      <c r="A2" s="48" t="s">
        <v>259</v>
      </c>
      <c r="B2" s="50"/>
      <c r="C2" s="50"/>
      <c r="D2" s="50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</row>
    <row r="3" spans="1:18" x14ac:dyDescent="0.2">
      <c r="A3" s="53" t="s">
        <v>8</v>
      </c>
      <c r="B3" s="53" t="s">
        <v>226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8" x14ac:dyDescent="0.2">
      <c r="A4" s="53" t="s">
        <v>22</v>
      </c>
      <c r="B4" s="53" t="s">
        <v>251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8" x14ac:dyDescent="0.2">
      <c r="A5" s="53" t="s">
        <v>57</v>
      </c>
      <c r="B5" s="53" t="s">
        <v>259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1:18" ht="13.5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8" x14ac:dyDescent="0.2">
      <c r="A7" s="1537"/>
      <c r="B7" s="1539" t="s">
        <v>20</v>
      </c>
      <c r="C7" s="1541" t="s">
        <v>15</v>
      </c>
      <c r="D7" s="57" t="s">
        <v>260</v>
      </c>
      <c r="E7" s="57"/>
      <c r="F7" s="1545" t="s">
        <v>261</v>
      </c>
      <c r="G7" s="1546"/>
      <c r="H7" s="1546"/>
      <c r="I7" s="1546"/>
      <c r="J7" s="1546"/>
      <c r="K7" s="1546"/>
      <c r="L7" s="1545" t="s">
        <v>261</v>
      </c>
      <c r="M7" s="1546"/>
      <c r="N7" s="1546"/>
      <c r="O7" s="1546"/>
      <c r="P7" s="58"/>
    </row>
    <row r="8" spans="1:18" ht="13.5" thickBot="1" x14ac:dyDescent="0.25">
      <c r="A8" s="1538"/>
      <c r="B8" s="1540"/>
      <c r="C8" s="1542"/>
      <c r="D8" s="59" t="s">
        <v>262</v>
      </c>
      <c r="E8" s="59"/>
      <c r="F8" s="1543">
        <v>30</v>
      </c>
      <c r="G8" s="1543"/>
      <c r="H8" s="1544">
        <f>F8+30</f>
        <v>60</v>
      </c>
      <c r="I8" s="1544"/>
      <c r="J8" s="1544">
        <f t="shared" ref="J8" si="0">H8+30</f>
        <v>90</v>
      </c>
      <c r="K8" s="1544"/>
      <c r="L8" s="1544">
        <f t="shared" ref="L8" si="1">J8+30</f>
        <v>120</v>
      </c>
      <c r="M8" s="1544"/>
      <c r="N8" s="1544">
        <f t="shared" ref="N8" si="2">L8+30</f>
        <v>150</v>
      </c>
      <c r="O8" s="1544"/>
      <c r="P8" s="60" t="s">
        <v>128</v>
      </c>
    </row>
    <row r="9" spans="1:18" x14ac:dyDescent="0.2">
      <c r="A9" s="61"/>
      <c r="B9" s="62"/>
      <c r="C9" s="63"/>
      <c r="D9" s="63"/>
      <c r="E9" s="63"/>
      <c r="F9" s="64" t="s">
        <v>263</v>
      </c>
      <c r="G9" s="64" t="s">
        <v>160</v>
      </c>
      <c r="H9" s="64" t="s">
        <v>263</v>
      </c>
      <c r="I9" s="64" t="s">
        <v>160</v>
      </c>
      <c r="J9" s="64" t="s">
        <v>263</v>
      </c>
      <c r="K9" s="64" t="s">
        <v>160</v>
      </c>
      <c r="L9" s="64" t="s">
        <v>263</v>
      </c>
      <c r="M9" s="64" t="s">
        <v>160</v>
      </c>
      <c r="N9" s="64" t="s">
        <v>263</v>
      </c>
      <c r="O9" s="64" t="s">
        <v>160</v>
      </c>
      <c r="P9" s="65" t="s">
        <v>264</v>
      </c>
    </row>
    <row r="10" spans="1:18" x14ac:dyDescent="0.2">
      <c r="A10" s="1549">
        <f>Resumo!A10</f>
        <v>1</v>
      </c>
      <c r="B10" s="1550" t="str">
        <f>Resumo!B10</f>
        <v>SERVIÇOS PRELIMINARES</v>
      </c>
      <c r="C10" s="1548">
        <f>(D10/$D$38)*100</f>
        <v>0.67</v>
      </c>
      <c r="D10" s="1548">
        <f>Resumo!E10</f>
        <v>32567.75</v>
      </c>
      <c r="E10" s="66" t="s">
        <v>15</v>
      </c>
      <c r="F10" s="1547">
        <v>70</v>
      </c>
      <c r="G10" s="1547"/>
      <c r="H10" s="1547">
        <v>30</v>
      </c>
      <c r="I10" s="1547"/>
      <c r="J10" s="1547">
        <v>0</v>
      </c>
      <c r="K10" s="1547"/>
      <c r="L10" s="1547">
        <v>0</v>
      </c>
      <c r="M10" s="1547"/>
      <c r="N10" s="1547">
        <v>0</v>
      </c>
      <c r="O10" s="1547"/>
      <c r="P10" s="67">
        <f t="shared" ref="P10:P35" si="3">SUM(F10:O10)</f>
        <v>100</v>
      </c>
    </row>
    <row r="11" spans="1:18" x14ac:dyDescent="0.2">
      <c r="A11" s="1549"/>
      <c r="B11" s="1550"/>
      <c r="C11" s="1548"/>
      <c r="D11" s="1548"/>
      <c r="E11" s="68" t="s">
        <v>265</v>
      </c>
      <c r="F11" s="69">
        <f>($D$10*F10/100)*$G$57</f>
        <v>21564.19</v>
      </c>
      <c r="G11" s="69">
        <f>D10*F10/100*$H$57</f>
        <v>1233.24</v>
      </c>
      <c r="H11" s="69">
        <f>D10*H10/100*$G$57</f>
        <v>9241.7900000000009</v>
      </c>
      <c r="I11" s="69">
        <f>D10*H10/100*$H$57</f>
        <v>528.53</v>
      </c>
      <c r="J11" s="69">
        <f>D10*J10/100*$G$57</f>
        <v>0</v>
      </c>
      <c r="K11" s="69">
        <f>D10*J10/100*$H$57</f>
        <v>0</v>
      </c>
      <c r="L11" s="69">
        <f>D10*L10/100*$G$57</f>
        <v>0</v>
      </c>
      <c r="M11" s="69">
        <f>D10*L10/100*$H$57</f>
        <v>0</v>
      </c>
      <c r="N11" s="69">
        <f>D10*N10/100*$G$57</f>
        <v>0</v>
      </c>
      <c r="O11" s="69">
        <f>D10*N10/100*$H$57</f>
        <v>0</v>
      </c>
      <c r="P11" s="67">
        <f t="shared" si="3"/>
        <v>32567.75</v>
      </c>
      <c r="R11" s="70">
        <f>D10-P11</f>
        <v>0</v>
      </c>
    </row>
    <row r="12" spans="1:18" x14ac:dyDescent="0.2">
      <c r="A12" s="1549">
        <f>Resumo!A12</f>
        <v>2</v>
      </c>
      <c r="B12" s="1550" t="str">
        <f>Resumo!B12</f>
        <v>ADMINISTRAÇÃO DE CANTEIRO DE OBRA</v>
      </c>
      <c r="C12" s="1548">
        <f>(D12/$D$38)*100</f>
        <v>4.74</v>
      </c>
      <c r="D12" s="1548">
        <f>Resumo!E12</f>
        <v>230672.18</v>
      </c>
      <c r="E12" s="66" t="s">
        <v>15</v>
      </c>
      <c r="F12" s="1547">
        <v>20</v>
      </c>
      <c r="G12" s="1547"/>
      <c r="H12" s="1547">
        <v>20</v>
      </c>
      <c r="I12" s="1547"/>
      <c r="J12" s="1547">
        <v>20</v>
      </c>
      <c r="K12" s="1547"/>
      <c r="L12" s="1547">
        <v>20</v>
      </c>
      <c r="M12" s="1547"/>
      <c r="N12" s="1547">
        <v>20</v>
      </c>
      <c r="O12" s="1547"/>
      <c r="P12" s="67">
        <f t="shared" si="3"/>
        <v>100</v>
      </c>
      <c r="R12" s="70"/>
    </row>
    <row r="13" spans="1:18" x14ac:dyDescent="0.2">
      <c r="A13" s="1549"/>
      <c r="B13" s="1550"/>
      <c r="C13" s="1548"/>
      <c r="D13" s="1548"/>
      <c r="E13" s="68" t="s">
        <v>265</v>
      </c>
      <c r="F13" s="69">
        <f>($D$12*F12/100)*$G$57</f>
        <v>43638.77</v>
      </c>
      <c r="G13" s="69">
        <f>D12*F12/100*$H$57</f>
        <v>2495.67</v>
      </c>
      <c r="H13" s="69">
        <f>D12*H12/100*$G$57</f>
        <v>43638.77</v>
      </c>
      <c r="I13" s="69">
        <f>D12*H12/100*$H$57</f>
        <v>2495.67</v>
      </c>
      <c r="J13" s="69">
        <f>D12*J12/100*$G$57</f>
        <v>43638.77</v>
      </c>
      <c r="K13" s="69">
        <f>D12*J12/100*$H$57</f>
        <v>2495.67</v>
      </c>
      <c r="L13" s="69">
        <f>D12*L12/100*$G$57</f>
        <v>43638.77</v>
      </c>
      <c r="M13" s="69">
        <f>D12*L12/100*$H$57</f>
        <v>2495.67</v>
      </c>
      <c r="N13" s="69">
        <f>D12*N12/100*$G$57</f>
        <v>43638.77</v>
      </c>
      <c r="O13" s="69">
        <f>D12*N12/100*$H$57</f>
        <v>2495.67</v>
      </c>
      <c r="P13" s="67">
        <f t="shared" si="3"/>
        <v>230672.2</v>
      </c>
      <c r="R13" s="70">
        <f>D12-P13</f>
        <v>-0.02</v>
      </c>
    </row>
    <row r="14" spans="1:18" x14ac:dyDescent="0.2">
      <c r="A14" s="1549">
        <f>Resumo!A14</f>
        <v>3</v>
      </c>
      <c r="B14" s="1550" t="str">
        <f>Resumo!B14</f>
        <v>DRENAGEM DE ÁGUAS PLUVIAIS</v>
      </c>
      <c r="C14" s="1548">
        <f t="shared" ref="C14" si="4">(D14/$D$38)*100</f>
        <v>0</v>
      </c>
      <c r="D14" s="1548"/>
      <c r="E14" s="66"/>
      <c r="F14" s="1547"/>
      <c r="G14" s="1547"/>
      <c r="H14" s="1547"/>
      <c r="I14" s="1547"/>
      <c r="J14" s="1547"/>
      <c r="K14" s="1547"/>
      <c r="L14" s="1547"/>
      <c r="M14" s="1547"/>
      <c r="N14" s="1547"/>
      <c r="O14" s="1547"/>
      <c r="P14" s="67">
        <f t="shared" si="3"/>
        <v>0</v>
      </c>
      <c r="R14" s="70"/>
    </row>
    <row r="15" spans="1:18" x14ac:dyDescent="0.2">
      <c r="A15" s="1549"/>
      <c r="B15" s="1550"/>
      <c r="C15" s="1548"/>
      <c r="D15" s="1548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7">
        <f t="shared" si="3"/>
        <v>0</v>
      </c>
      <c r="R15" s="70"/>
    </row>
    <row r="16" spans="1:18" x14ac:dyDescent="0.2">
      <c r="A16" s="1549" t="str">
        <f>Resumo!A15</f>
        <v>3.1</v>
      </c>
      <c r="B16" s="1550" t="str">
        <f>Resumo!B15</f>
        <v>SERVIÇOS PRELIMINARES</v>
      </c>
      <c r="C16" s="1548">
        <f t="shared" ref="C16" si="5">(D16/$D$38)*100</f>
        <v>7.0000000000000007E-2</v>
      </c>
      <c r="D16" s="1548">
        <f>Resumo!E15</f>
        <v>3299.43</v>
      </c>
      <c r="E16" s="66" t="s">
        <v>15</v>
      </c>
      <c r="F16" s="1547">
        <v>20</v>
      </c>
      <c r="G16" s="1547"/>
      <c r="H16" s="1547">
        <v>20</v>
      </c>
      <c r="I16" s="1547"/>
      <c r="J16" s="1547">
        <v>20</v>
      </c>
      <c r="K16" s="1547"/>
      <c r="L16" s="1547">
        <v>20</v>
      </c>
      <c r="M16" s="1547"/>
      <c r="N16" s="1547">
        <v>20</v>
      </c>
      <c r="O16" s="1547"/>
      <c r="P16" s="67">
        <f t="shared" si="3"/>
        <v>100</v>
      </c>
      <c r="R16" s="70"/>
    </row>
    <row r="17" spans="1:18" x14ac:dyDescent="0.2">
      <c r="A17" s="1549"/>
      <c r="B17" s="1550"/>
      <c r="C17" s="1548"/>
      <c r="D17" s="1548"/>
      <c r="E17" s="68" t="s">
        <v>265</v>
      </c>
      <c r="F17" s="69">
        <f>($D$16*F16/100)*$G$57</f>
        <v>624.19000000000005</v>
      </c>
      <c r="G17" s="69">
        <f>D16*F16/100*$H$57</f>
        <v>35.700000000000003</v>
      </c>
      <c r="H17" s="69">
        <f>D16*H16/100*$G$57</f>
        <v>624.19000000000005</v>
      </c>
      <c r="I17" s="69">
        <f>D16*H16/100*$H$57</f>
        <v>35.700000000000003</v>
      </c>
      <c r="J17" s="69">
        <f>D16*J16/100*$G$57</f>
        <v>624.19000000000005</v>
      </c>
      <c r="K17" s="69">
        <f>D16*J16/100*$H$57</f>
        <v>35.700000000000003</v>
      </c>
      <c r="L17" s="69">
        <f>D16*L16/100*$G$57</f>
        <v>624.19000000000005</v>
      </c>
      <c r="M17" s="69">
        <f>D16*L16/100*$H$57</f>
        <v>35.700000000000003</v>
      </c>
      <c r="N17" s="69">
        <f>D16*N16/100*$G$57</f>
        <v>624.19000000000005</v>
      </c>
      <c r="O17" s="69">
        <f>D16*N16/100*$H$57</f>
        <v>35.700000000000003</v>
      </c>
      <c r="P17" s="67">
        <f t="shared" si="3"/>
        <v>3299.45</v>
      </c>
      <c r="R17" s="70">
        <f>D16-P17</f>
        <v>-0.02</v>
      </c>
    </row>
    <row r="18" spans="1:18" x14ac:dyDescent="0.2">
      <c r="A18" s="1549" t="str">
        <f>Resumo!A16</f>
        <v>3.2</v>
      </c>
      <c r="B18" s="1550" t="str">
        <f>Resumo!B16</f>
        <v>MOVIMENTO DE TERRA</v>
      </c>
      <c r="C18" s="1548">
        <f t="shared" ref="C18" si="6">(D18/$D$38)*100</f>
        <v>4.9000000000000004</v>
      </c>
      <c r="D18" s="1548">
        <f>Resumo!E16</f>
        <v>238172.96</v>
      </c>
      <c r="E18" s="66" t="s">
        <v>15</v>
      </c>
      <c r="F18" s="1547">
        <v>20</v>
      </c>
      <c r="G18" s="1547"/>
      <c r="H18" s="1547">
        <v>20</v>
      </c>
      <c r="I18" s="1547"/>
      <c r="J18" s="1547">
        <v>20</v>
      </c>
      <c r="K18" s="1547"/>
      <c r="L18" s="1547">
        <v>20</v>
      </c>
      <c r="M18" s="1547"/>
      <c r="N18" s="1547">
        <v>20</v>
      </c>
      <c r="O18" s="1547"/>
      <c r="P18" s="67">
        <f t="shared" si="3"/>
        <v>100</v>
      </c>
      <c r="R18" s="70"/>
    </row>
    <row r="19" spans="1:18" x14ac:dyDescent="0.2">
      <c r="A19" s="1549"/>
      <c r="B19" s="1550"/>
      <c r="C19" s="1548"/>
      <c r="D19" s="1548"/>
      <c r="E19" s="68" t="s">
        <v>265</v>
      </c>
      <c r="F19" s="69">
        <f>($D$18*F18/100)*$G$57</f>
        <v>45057.77</v>
      </c>
      <c r="G19" s="69">
        <f>D18*F18/100*$H$57</f>
        <v>2576.8200000000002</v>
      </c>
      <c r="H19" s="69">
        <f>D18*H18/100*$G$57</f>
        <v>45057.77</v>
      </c>
      <c r="I19" s="69">
        <f>D18*H18/100*$H$57</f>
        <v>2576.8200000000002</v>
      </c>
      <c r="J19" s="69">
        <f>D18*J18/100*$G$57</f>
        <v>45057.77</v>
      </c>
      <c r="K19" s="69">
        <f>D18*J18/100*$H$57</f>
        <v>2576.8200000000002</v>
      </c>
      <c r="L19" s="69">
        <f>D18*L18/100*$G$57</f>
        <v>45057.77</v>
      </c>
      <c r="M19" s="69">
        <f>D18*L18/100*$H$57</f>
        <v>2576.8200000000002</v>
      </c>
      <c r="N19" s="69">
        <f>D18*N18/100*$G$57</f>
        <v>45057.77</v>
      </c>
      <c r="O19" s="69">
        <f>D18*N18/100*$H$57-0.02</f>
        <v>2576.8000000000002</v>
      </c>
      <c r="P19" s="67">
        <f t="shared" si="3"/>
        <v>238172.93</v>
      </c>
      <c r="R19" s="70">
        <f>D18-P19</f>
        <v>0.03</v>
      </c>
    </row>
    <row r="20" spans="1:18" x14ac:dyDescent="0.2">
      <c r="A20" s="1549" t="str">
        <f>Resumo!A17</f>
        <v>3.3</v>
      </c>
      <c r="B20" s="1550" t="str">
        <f>Resumo!B17</f>
        <v>FORNECIMENTO E ASSENTAMENTO DE TUBOS</v>
      </c>
      <c r="C20" s="1548">
        <f t="shared" ref="C20" si="7">(D20/$D$38)*100</f>
        <v>15.94</v>
      </c>
      <c r="D20" s="1548">
        <f>Resumo!E17</f>
        <v>775193.61</v>
      </c>
      <c r="E20" s="66" t="s">
        <v>15</v>
      </c>
      <c r="F20" s="1547">
        <v>20</v>
      </c>
      <c r="G20" s="1547"/>
      <c r="H20" s="1547">
        <v>20</v>
      </c>
      <c r="I20" s="1547"/>
      <c r="J20" s="1547">
        <v>20</v>
      </c>
      <c r="K20" s="1547"/>
      <c r="L20" s="1547">
        <v>20</v>
      </c>
      <c r="M20" s="1547"/>
      <c r="N20" s="1547">
        <v>20</v>
      </c>
      <c r="O20" s="1547"/>
      <c r="P20" s="67">
        <f t="shared" si="3"/>
        <v>100</v>
      </c>
      <c r="R20" s="70"/>
    </row>
    <row r="21" spans="1:18" x14ac:dyDescent="0.2">
      <c r="A21" s="1549"/>
      <c r="B21" s="1550"/>
      <c r="C21" s="1548"/>
      <c r="D21" s="1548"/>
      <c r="E21" s="68" t="s">
        <v>265</v>
      </c>
      <c r="F21" s="69">
        <f>($D$20*F20/100)*$G$57</f>
        <v>146651.82</v>
      </c>
      <c r="G21" s="69">
        <f>D20*F20/100*$H$57</f>
        <v>8386.9</v>
      </c>
      <c r="H21" s="69">
        <f>D20*H20/100*$G$57</f>
        <v>146651.82</v>
      </c>
      <c r="I21" s="69">
        <f>D20*H20/100*$H$57</f>
        <v>8386.9</v>
      </c>
      <c r="J21" s="69">
        <f>D20*J20/100*$G$57</f>
        <v>146651.82</v>
      </c>
      <c r="K21" s="69">
        <f>D20*J20/100*$H$57</f>
        <v>8386.9</v>
      </c>
      <c r="L21" s="69">
        <f>D20*L20/100*$G$57</f>
        <v>146651.82</v>
      </c>
      <c r="M21" s="69">
        <f>D20*L20/100*$H$57</f>
        <v>8386.9</v>
      </c>
      <c r="N21" s="69">
        <f>D20*N20/100*$G$57</f>
        <v>146651.82</v>
      </c>
      <c r="O21" s="69">
        <f>D20*N20/100*$H$57-0.03</f>
        <v>8386.8700000000008</v>
      </c>
      <c r="P21" s="67">
        <f t="shared" si="3"/>
        <v>775193.57</v>
      </c>
      <c r="R21" s="70">
        <f>D20-P21</f>
        <v>0.04</v>
      </c>
    </row>
    <row r="22" spans="1:18" x14ac:dyDescent="0.2">
      <c r="A22" s="1549" t="str">
        <f>Resumo!A18</f>
        <v>3.4</v>
      </c>
      <c r="B22" s="1550" t="str">
        <f>Resumo!B18</f>
        <v>ELEMENTOS AUXILIARES</v>
      </c>
      <c r="C22" s="1548">
        <f t="shared" ref="C22" si="8">(D22/$D$38)*100</f>
        <v>3.28</v>
      </c>
      <c r="D22" s="1548">
        <f>Resumo!E18</f>
        <v>159528.75</v>
      </c>
      <c r="E22" s="66"/>
      <c r="F22" s="1547">
        <v>20</v>
      </c>
      <c r="G22" s="1547"/>
      <c r="H22" s="1547">
        <v>20</v>
      </c>
      <c r="I22" s="1547"/>
      <c r="J22" s="1547">
        <v>20</v>
      </c>
      <c r="K22" s="1547"/>
      <c r="L22" s="1547">
        <v>20</v>
      </c>
      <c r="M22" s="1547"/>
      <c r="N22" s="1547">
        <v>20</v>
      </c>
      <c r="O22" s="1547"/>
      <c r="P22" s="67">
        <f t="shared" si="3"/>
        <v>100</v>
      </c>
      <c r="R22" s="70"/>
    </row>
    <row r="23" spans="1:18" x14ac:dyDescent="0.2">
      <c r="A23" s="1549"/>
      <c r="B23" s="1550"/>
      <c r="C23" s="1548"/>
      <c r="D23" s="1548"/>
      <c r="E23" s="68"/>
      <c r="F23" s="69">
        <f>($D$22*F22/100)*$G$57</f>
        <v>30179.79</v>
      </c>
      <c r="G23" s="69">
        <f>D22*F22/100*$H$57</f>
        <v>1725.96</v>
      </c>
      <c r="H23" s="69">
        <f>D22*H22/100*$G$57</f>
        <v>30179.79</v>
      </c>
      <c r="I23" s="69">
        <f>D22*H22/100*$H$57</f>
        <v>1725.96</v>
      </c>
      <c r="J23" s="69">
        <f>D22*J22/100*$G$57</f>
        <v>30179.79</v>
      </c>
      <c r="K23" s="69">
        <f>D22*J22/100*$H$57</f>
        <v>1725.96</v>
      </c>
      <c r="L23" s="69">
        <f>D22*L22/100*$G$57</f>
        <v>30179.79</v>
      </c>
      <c r="M23" s="69">
        <f>D22*L22/100*$H$57</f>
        <v>1725.96</v>
      </c>
      <c r="N23" s="69">
        <f>D22*N22/100*$G$57</f>
        <v>30179.79</v>
      </c>
      <c r="O23" s="69">
        <f>D22*N22/100*$H$57-0.02</f>
        <v>1725.94</v>
      </c>
      <c r="P23" s="67">
        <f t="shared" si="3"/>
        <v>159528.73000000001</v>
      </c>
      <c r="R23" s="70">
        <f>D22-P23</f>
        <v>0.02</v>
      </c>
    </row>
    <row r="24" spans="1:18" x14ac:dyDescent="0.2">
      <c r="A24" s="1549" t="str">
        <f>Resumo!A19</f>
        <v>3.5</v>
      </c>
      <c r="B24" s="1550" t="str">
        <f>Resumo!B19</f>
        <v>SINALIZAÇÃO</v>
      </c>
      <c r="C24" s="1548">
        <f t="shared" ref="C24:C26" si="9">(D24/$D$38)*100</f>
        <v>0.05</v>
      </c>
      <c r="D24" s="1548">
        <f>Resumo!E19</f>
        <v>2315.65</v>
      </c>
      <c r="E24" s="66" t="s">
        <v>15</v>
      </c>
      <c r="F24" s="1547">
        <v>20</v>
      </c>
      <c r="G24" s="1547"/>
      <c r="H24" s="1547">
        <v>20</v>
      </c>
      <c r="I24" s="1547"/>
      <c r="J24" s="1547">
        <v>20</v>
      </c>
      <c r="K24" s="1547"/>
      <c r="L24" s="1547">
        <v>20</v>
      </c>
      <c r="M24" s="1547"/>
      <c r="N24" s="1547">
        <v>20</v>
      </c>
      <c r="O24" s="1547"/>
      <c r="P24" s="67">
        <f t="shared" si="3"/>
        <v>100</v>
      </c>
      <c r="R24" s="70"/>
    </row>
    <row r="25" spans="1:18" x14ac:dyDescent="0.2">
      <c r="A25" s="1549"/>
      <c r="B25" s="1550"/>
      <c r="C25" s="1548"/>
      <c r="D25" s="1548"/>
      <c r="E25" s="68" t="s">
        <v>265</v>
      </c>
      <c r="F25" s="69">
        <f>($D$24*F24/100)*$G$57</f>
        <v>438.08</v>
      </c>
      <c r="G25" s="69">
        <f>D24*F24/100*$H$57</f>
        <v>25.05</v>
      </c>
      <c r="H25" s="69">
        <f>D24*H24/100*$G$57</f>
        <v>438.08</v>
      </c>
      <c r="I25" s="69">
        <f>D24*H24/100*$H$57</f>
        <v>25.05</v>
      </c>
      <c r="J25" s="69">
        <f>D24*J24/100*$G$57</f>
        <v>438.08</v>
      </c>
      <c r="K25" s="69">
        <f>D24*J24/100*$H$57</f>
        <v>25.05</v>
      </c>
      <c r="L25" s="69">
        <f>D24*L24/100*$G$57</f>
        <v>438.08</v>
      </c>
      <c r="M25" s="69">
        <f>D24*L24/100*$H$57</f>
        <v>25.05</v>
      </c>
      <c r="N25" s="69">
        <f>D24*N24/100*$G$57</f>
        <v>438.08</v>
      </c>
      <c r="O25" s="69">
        <f>D24*N24/100*$H$57+0.01</f>
        <v>25.06</v>
      </c>
      <c r="P25" s="67">
        <f t="shared" si="3"/>
        <v>2315.66</v>
      </c>
      <c r="R25" s="70">
        <f>D24-P25</f>
        <v>-0.01</v>
      </c>
    </row>
    <row r="26" spans="1:18" x14ac:dyDescent="0.2">
      <c r="A26" s="1549">
        <f>Resumo!A21</f>
        <v>4</v>
      </c>
      <c r="B26" s="1550" t="str">
        <f>Resumo!B21</f>
        <v>PAVIMENTAÇÃO EM TSD</v>
      </c>
      <c r="C26" s="1548">
        <f t="shared" si="9"/>
        <v>0</v>
      </c>
      <c r="D26" s="1548">
        <f>Resumo!E21</f>
        <v>0</v>
      </c>
      <c r="E26" s="66"/>
      <c r="F26" s="1547"/>
      <c r="G26" s="1547"/>
      <c r="H26" s="1547"/>
      <c r="I26" s="1547"/>
      <c r="J26" s="1547"/>
      <c r="K26" s="1547"/>
      <c r="L26" s="1547"/>
      <c r="M26" s="1547"/>
      <c r="N26" s="1547"/>
      <c r="O26" s="1547"/>
      <c r="P26" s="67">
        <f t="shared" si="3"/>
        <v>0</v>
      </c>
      <c r="R26" s="70"/>
    </row>
    <row r="27" spans="1:18" x14ac:dyDescent="0.2">
      <c r="A27" s="1549"/>
      <c r="B27" s="1550"/>
      <c r="C27" s="1548"/>
      <c r="D27" s="1548"/>
      <c r="E27" s="68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7">
        <f t="shared" si="3"/>
        <v>0</v>
      </c>
      <c r="R27" s="70"/>
    </row>
    <row r="28" spans="1:18" x14ac:dyDescent="0.2">
      <c r="A28" s="1549" t="str">
        <f>Resumo!A22</f>
        <v>4.1</v>
      </c>
      <c r="B28" s="1550" t="str">
        <f>Resumo!B22</f>
        <v>TERRAPLENAGEM</v>
      </c>
      <c r="C28" s="1548">
        <f t="shared" ref="C28" si="10">(D28/$D$38)*100</f>
        <v>3.94</v>
      </c>
      <c r="D28" s="1548">
        <f>Resumo!E22</f>
        <v>191555.26</v>
      </c>
      <c r="E28" s="66" t="s">
        <v>15</v>
      </c>
      <c r="F28" s="1547">
        <v>0</v>
      </c>
      <c r="G28" s="1547"/>
      <c r="H28" s="1547">
        <v>25</v>
      </c>
      <c r="I28" s="1547"/>
      <c r="J28" s="1547">
        <v>25</v>
      </c>
      <c r="K28" s="1547"/>
      <c r="L28" s="1547">
        <v>25</v>
      </c>
      <c r="M28" s="1547"/>
      <c r="N28" s="1547">
        <v>25</v>
      </c>
      <c r="O28" s="1547"/>
      <c r="P28" s="67">
        <f t="shared" si="3"/>
        <v>100</v>
      </c>
      <c r="R28" s="70"/>
    </row>
    <row r="29" spans="1:18" x14ac:dyDescent="0.2">
      <c r="A29" s="1549"/>
      <c r="B29" s="1550"/>
      <c r="C29" s="1548"/>
      <c r="D29" s="1548"/>
      <c r="E29" s="68" t="s">
        <v>265</v>
      </c>
      <c r="F29" s="69">
        <f>($D$28*F28/100)*$G$57</f>
        <v>0</v>
      </c>
      <c r="G29" s="69">
        <f>D28*F28/100*$H$57</f>
        <v>0</v>
      </c>
      <c r="H29" s="69">
        <f>D28*H28/100*$G$57</f>
        <v>45298.239999999998</v>
      </c>
      <c r="I29" s="69">
        <f>D28*H28/100*$H$57</f>
        <v>2590.5700000000002</v>
      </c>
      <c r="J29" s="69">
        <f>D28*J28/100*$G$57</f>
        <v>45298.239999999998</v>
      </c>
      <c r="K29" s="69">
        <f>D28*J28/100*$H$57</f>
        <v>2590.5700000000002</v>
      </c>
      <c r="L29" s="69">
        <f>D28*L28/100*$G$57</f>
        <v>45298.239999999998</v>
      </c>
      <c r="M29" s="69">
        <f>D28*L28/100*$H$57</f>
        <v>2590.5700000000002</v>
      </c>
      <c r="N29" s="69">
        <f>D28*N28/100*$G$57</f>
        <v>45298.239999999998</v>
      </c>
      <c r="O29" s="69">
        <f>D28*N28/100*$H$57-0.01</f>
        <v>2590.56</v>
      </c>
      <c r="P29" s="67">
        <f t="shared" si="3"/>
        <v>191555.23</v>
      </c>
      <c r="R29" s="70">
        <f>D28-P29</f>
        <v>0.03</v>
      </c>
    </row>
    <row r="30" spans="1:18" x14ac:dyDescent="0.2">
      <c r="A30" s="1549" t="str">
        <f>Resumo!A23</f>
        <v>4.2</v>
      </c>
      <c r="B30" s="1550" t="str">
        <f>Resumo!B23</f>
        <v>PAVIMENTAÇÃO</v>
      </c>
      <c r="C30" s="1548">
        <f t="shared" ref="C30" si="11">(D30/$D$38)*100</f>
        <v>47.21</v>
      </c>
      <c r="D30" s="1548">
        <f>Resumo!E23</f>
        <v>2296434.48</v>
      </c>
      <c r="E30" s="66"/>
      <c r="F30" s="1547">
        <v>0</v>
      </c>
      <c r="G30" s="1547"/>
      <c r="H30" s="1547">
        <v>25</v>
      </c>
      <c r="I30" s="1547"/>
      <c r="J30" s="1547">
        <v>25</v>
      </c>
      <c r="K30" s="1547"/>
      <c r="L30" s="1547">
        <v>25</v>
      </c>
      <c r="M30" s="1547"/>
      <c r="N30" s="1547">
        <v>25</v>
      </c>
      <c r="O30" s="1547"/>
      <c r="P30" s="67">
        <f t="shared" si="3"/>
        <v>100</v>
      </c>
      <c r="R30" s="70"/>
    </row>
    <row r="31" spans="1:18" x14ac:dyDescent="0.2">
      <c r="A31" s="1549"/>
      <c r="B31" s="1550"/>
      <c r="C31" s="1548"/>
      <c r="D31" s="1548"/>
      <c r="E31" s="68"/>
      <c r="F31" s="69">
        <f>($D$30*F30/100)*$G$57</f>
        <v>0</v>
      </c>
      <c r="G31" s="69">
        <f>D30*F30/100*$H$57</f>
        <v>0</v>
      </c>
      <c r="H31" s="69">
        <f>D30*H30/100*$G$57</f>
        <v>543051.91</v>
      </c>
      <c r="I31" s="69">
        <f>D30*H30/100*$H$57</f>
        <v>31056.71</v>
      </c>
      <c r="J31" s="69">
        <f>D30*J30/100*$G$57</f>
        <v>543051.91</v>
      </c>
      <c r="K31" s="69">
        <f>D30*J30/100*$H$57</f>
        <v>31056.71</v>
      </c>
      <c r="L31" s="69">
        <f>D30*L30/100*$G$57</f>
        <v>543051.91</v>
      </c>
      <c r="M31" s="69">
        <f>D30*L30/100*$H$57</f>
        <v>31056.71</v>
      </c>
      <c r="N31" s="69">
        <f>D30*N30/100*$G$57</f>
        <v>543051.91</v>
      </c>
      <c r="O31" s="69">
        <f>D30*N30/100*$H$57+0.02</f>
        <v>31056.73</v>
      </c>
      <c r="P31" s="67">
        <f t="shared" si="3"/>
        <v>2296434.5</v>
      </c>
      <c r="R31" s="70">
        <f>D30-P31</f>
        <v>-0.02</v>
      </c>
    </row>
    <row r="32" spans="1:18" x14ac:dyDescent="0.2">
      <c r="A32" s="1549" t="str">
        <f>Resumo!A24</f>
        <v>4.3</v>
      </c>
      <c r="B32" s="1550" t="str">
        <f>Resumo!B24</f>
        <v>CALÇADAS</v>
      </c>
      <c r="C32" s="1548">
        <f t="shared" ref="C32" si="12">(D32/$D$38)*100</f>
        <v>16.95</v>
      </c>
      <c r="D32" s="1548">
        <f>Resumo!E24</f>
        <v>824672.15</v>
      </c>
      <c r="E32" s="66" t="s">
        <v>15</v>
      </c>
      <c r="F32" s="1547">
        <v>0</v>
      </c>
      <c r="G32" s="1547"/>
      <c r="H32" s="1547">
        <v>25</v>
      </c>
      <c r="I32" s="1547"/>
      <c r="J32" s="1547">
        <v>25</v>
      </c>
      <c r="K32" s="1547"/>
      <c r="L32" s="1547">
        <v>25</v>
      </c>
      <c r="M32" s="1547"/>
      <c r="N32" s="1547">
        <v>25</v>
      </c>
      <c r="O32" s="1547"/>
      <c r="P32" s="67">
        <f t="shared" si="3"/>
        <v>100</v>
      </c>
      <c r="R32" s="70"/>
    </row>
    <row r="33" spans="1:18" x14ac:dyDescent="0.2">
      <c r="A33" s="1549"/>
      <c r="B33" s="1550"/>
      <c r="C33" s="1548"/>
      <c r="D33" s="1548"/>
      <c r="E33" s="68" t="s">
        <v>265</v>
      </c>
      <c r="F33" s="69">
        <f>($D$32*F32/100)*$G$57</f>
        <v>0</v>
      </c>
      <c r="G33" s="69">
        <f>D32*F32/100*$H$57</f>
        <v>0</v>
      </c>
      <c r="H33" s="69">
        <f>D32*H32/100*$G$57</f>
        <v>195015.27</v>
      </c>
      <c r="I33" s="69">
        <f>D32*H32/100*$H$57</f>
        <v>11152.77</v>
      </c>
      <c r="J33" s="69">
        <f>D32*J32/100*$G$57</f>
        <v>195015.27</v>
      </c>
      <c r="K33" s="69">
        <f>D32*J32/100*$H$57</f>
        <v>11152.77</v>
      </c>
      <c r="L33" s="69">
        <f>D32*L32/100*$G$57</f>
        <v>195015.27</v>
      </c>
      <c r="M33" s="69">
        <f>D32*L32/100*$H$57</f>
        <v>11152.77</v>
      </c>
      <c r="N33" s="69">
        <f>D32*N32/100*$G$57</f>
        <v>195015.27</v>
      </c>
      <c r="O33" s="69">
        <f>D32*N32/100*$H$57-0.03</f>
        <v>11152.74</v>
      </c>
      <c r="P33" s="67">
        <f t="shared" si="3"/>
        <v>824672.13</v>
      </c>
      <c r="R33" s="70">
        <f>D32-P33</f>
        <v>0.02</v>
      </c>
    </row>
    <row r="34" spans="1:18" x14ac:dyDescent="0.2">
      <c r="A34" s="1549" t="str">
        <f>Resumo!A25</f>
        <v>4.4</v>
      </c>
      <c r="B34" s="1550" t="str">
        <f>Resumo!B25</f>
        <v>SINALIZAÇÃO VIÁRIA - HORIZONTAL E VERTICAL</v>
      </c>
      <c r="C34" s="1548">
        <f t="shared" ref="C34" si="13">(D34/$D$38)*100</f>
        <v>2.27</v>
      </c>
      <c r="D34" s="1548">
        <f>Resumo!E25</f>
        <v>110275.99</v>
      </c>
      <c r="E34" s="66" t="s">
        <v>15</v>
      </c>
      <c r="F34" s="1547">
        <v>0</v>
      </c>
      <c r="G34" s="1547"/>
      <c r="H34" s="1547">
        <v>0</v>
      </c>
      <c r="I34" s="1547"/>
      <c r="J34" s="1547">
        <v>0</v>
      </c>
      <c r="K34" s="1547"/>
      <c r="L34" s="1547">
        <v>0</v>
      </c>
      <c r="M34" s="1547"/>
      <c r="N34" s="1547">
        <v>100</v>
      </c>
      <c r="O34" s="1547"/>
      <c r="P34" s="67">
        <f t="shared" si="3"/>
        <v>100</v>
      </c>
      <c r="R34" s="70"/>
    </row>
    <row r="35" spans="1:18" x14ac:dyDescent="0.2">
      <c r="A35" s="1549"/>
      <c r="B35" s="1550"/>
      <c r="C35" s="1548"/>
      <c r="D35" s="1548"/>
      <c r="E35" s="68" t="s">
        <v>265</v>
      </c>
      <c r="F35" s="69">
        <f>($D$34*F34/100)*$G$57</f>
        <v>0</v>
      </c>
      <c r="G35" s="69">
        <f>D34*F34/100*$H$57</f>
        <v>0</v>
      </c>
      <c r="H35" s="69">
        <f>D34*H34/100*$G$57</f>
        <v>0</v>
      </c>
      <c r="I35" s="69">
        <f>D34*H34/100*$H$57</f>
        <v>0</v>
      </c>
      <c r="J35" s="69">
        <f>D34*J34/100*$G$57</f>
        <v>0</v>
      </c>
      <c r="K35" s="69">
        <f>D34*J34/100*$H$57</f>
        <v>0</v>
      </c>
      <c r="L35" s="69">
        <f>D34*L34/100*$G$57</f>
        <v>0</v>
      </c>
      <c r="M35" s="69">
        <f>D34*L34/100*$H$57</f>
        <v>0</v>
      </c>
      <c r="N35" s="69">
        <f>D34*N34/100*$G$57</f>
        <v>104310.55</v>
      </c>
      <c r="O35" s="69">
        <f>D34*N34/100*$H$57</f>
        <v>5965.44</v>
      </c>
      <c r="P35" s="67">
        <f t="shared" si="3"/>
        <v>110275.99</v>
      </c>
      <c r="R35" s="70">
        <f>D34-P35</f>
        <v>0</v>
      </c>
    </row>
    <row r="36" spans="1:18" x14ac:dyDescent="0.2">
      <c r="A36" s="1551"/>
      <c r="B36" s="1550"/>
      <c r="C36" s="1548"/>
      <c r="D36" s="1548"/>
      <c r="E36" s="66"/>
      <c r="F36" s="1547"/>
      <c r="G36" s="1547"/>
      <c r="H36" s="1547"/>
      <c r="I36" s="1547"/>
      <c r="J36" s="1547"/>
      <c r="K36" s="1547"/>
      <c r="L36" s="1547"/>
      <c r="M36" s="1547"/>
      <c r="N36" s="1547"/>
      <c r="O36" s="1547"/>
      <c r="P36" s="67"/>
    </row>
    <row r="37" spans="1:18" x14ac:dyDescent="0.2">
      <c r="A37" s="1551"/>
      <c r="B37" s="1550"/>
      <c r="C37" s="1548"/>
      <c r="D37" s="1548"/>
      <c r="E37" s="68"/>
      <c r="F37" s="1553"/>
      <c r="G37" s="1553"/>
      <c r="H37" s="1553"/>
      <c r="I37" s="1553"/>
      <c r="J37" s="1553"/>
      <c r="K37" s="1553"/>
      <c r="L37" s="1553"/>
      <c r="M37" s="1553"/>
      <c r="N37" s="1553"/>
      <c r="O37" s="1553"/>
      <c r="P37" s="67"/>
    </row>
    <row r="38" spans="1:18" x14ac:dyDescent="0.2">
      <c r="A38" s="71" t="s">
        <v>266</v>
      </c>
      <c r="B38" s="72"/>
      <c r="C38" s="1552">
        <f>SUM(C10:C37)</f>
        <v>100.02</v>
      </c>
      <c r="D38" s="1552">
        <f>SUM(D10:D37)</f>
        <v>4864688.21</v>
      </c>
      <c r="E38" s="73" t="s">
        <v>267</v>
      </c>
      <c r="F38" s="69">
        <f t="shared" ref="F38:O38" si="14">F35+F33+F31+F29+F27+F25+F23+F21+F19+F17+F15+F13+F11</f>
        <v>288154.61</v>
      </c>
      <c r="G38" s="69">
        <f t="shared" si="14"/>
        <v>16479.34</v>
      </c>
      <c r="H38" s="69">
        <f t="shared" si="14"/>
        <v>1059197.6299999999</v>
      </c>
      <c r="I38" s="69">
        <f t="shared" si="14"/>
        <v>60574.68</v>
      </c>
      <c r="J38" s="69">
        <f t="shared" si="14"/>
        <v>1049955.8400000001</v>
      </c>
      <c r="K38" s="69">
        <f t="shared" si="14"/>
        <v>60046.15</v>
      </c>
      <c r="L38" s="69">
        <f t="shared" si="14"/>
        <v>1049955.8400000001</v>
      </c>
      <c r="M38" s="69">
        <f t="shared" si="14"/>
        <v>60046.15</v>
      </c>
      <c r="N38" s="69">
        <f t="shared" si="14"/>
        <v>1154266.3899999999</v>
      </c>
      <c r="O38" s="69">
        <f t="shared" si="14"/>
        <v>66011.509999999995</v>
      </c>
      <c r="P38" s="1556">
        <f>+P35+P33+P31+P29+P27+P25+P23+P21+P19+P17+P15+P13+P11</f>
        <v>4864688.1399999997</v>
      </c>
    </row>
    <row r="39" spans="1:18" x14ac:dyDescent="0.2">
      <c r="A39" s="71" t="s">
        <v>268</v>
      </c>
      <c r="B39" s="72"/>
      <c r="C39" s="1552"/>
      <c r="D39" s="1552"/>
      <c r="E39" s="73" t="s">
        <v>269</v>
      </c>
      <c r="F39" s="69">
        <f>F38</f>
        <v>288154.61</v>
      </c>
      <c r="G39" s="69">
        <f>G38</f>
        <v>16479.34</v>
      </c>
      <c r="H39" s="69">
        <f>H38+F39</f>
        <v>1347352.24</v>
      </c>
      <c r="I39" s="69">
        <f>G39+I38</f>
        <v>77054.02</v>
      </c>
      <c r="J39" s="69">
        <f>J38+H39</f>
        <v>2397308.08</v>
      </c>
      <c r="K39" s="69">
        <f>I39+K38</f>
        <v>137100.17000000001</v>
      </c>
      <c r="L39" s="69">
        <f>L38+J39</f>
        <v>3447263.92</v>
      </c>
      <c r="M39" s="69">
        <f>K39+M38</f>
        <v>197146.32</v>
      </c>
      <c r="N39" s="69">
        <f>N38+L39</f>
        <v>4601530.3099999996</v>
      </c>
      <c r="O39" s="69">
        <f>M39+O38</f>
        <v>263157.83</v>
      </c>
      <c r="P39" s="1557"/>
    </row>
    <row r="40" spans="1:18" x14ac:dyDescent="0.2">
      <c r="A40" s="74"/>
      <c r="B40" s="75"/>
      <c r="C40" s="76"/>
      <c r="D40" s="76"/>
      <c r="E40" s="77"/>
      <c r="F40" s="1558">
        <f>F38+G38</f>
        <v>304633.95</v>
      </c>
      <c r="G40" s="1559"/>
      <c r="H40" s="1558">
        <f>H38+I38</f>
        <v>1119772.31</v>
      </c>
      <c r="I40" s="1559"/>
      <c r="J40" s="1558">
        <f>J38+K38</f>
        <v>1110001.99</v>
      </c>
      <c r="K40" s="1559"/>
      <c r="L40" s="1558">
        <f>L38+M38</f>
        <v>1110001.99</v>
      </c>
      <c r="M40" s="1559"/>
      <c r="N40" s="1558">
        <f>N38+O38</f>
        <v>1220277.8999999999</v>
      </c>
      <c r="O40" s="1559"/>
      <c r="P40" s="1554">
        <f>+N40+L40+J40+H40+F40</f>
        <v>4864688.1399999997</v>
      </c>
    </row>
    <row r="41" spans="1:18" ht="13.5" thickBot="1" x14ac:dyDescent="0.25">
      <c r="A41" s="78"/>
      <c r="B41" s="79"/>
      <c r="C41" s="80"/>
      <c r="D41" s="81"/>
      <c r="E41" s="82"/>
      <c r="F41" s="1560"/>
      <c r="G41" s="1560"/>
      <c r="H41" s="1560"/>
      <c r="I41" s="1560"/>
      <c r="J41" s="1560"/>
      <c r="K41" s="1560"/>
      <c r="L41" s="1560"/>
      <c r="M41" s="1560"/>
      <c r="N41" s="1560"/>
      <c r="O41" s="1560"/>
      <c r="P41" s="1555"/>
    </row>
    <row r="42" spans="1:18" x14ac:dyDescent="0.2">
      <c r="D42" s="44"/>
    </row>
    <row r="43" spans="1:18" x14ac:dyDescent="0.2">
      <c r="M43" s="83"/>
    </row>
    <row r="44" spans="1:18" ht="14.25" x14ac:dyDescent="0.2">
      <c r="B44" s="9" t="str">
        <f>Resumo!B34</f>
        <v>ROBSON DARCIO SOUSA</v>
      </c>
      <c r="G44" s="88"/>
      <c r="H44" s="88"/>
      <c r="L44" s="84"/>
      <c r="M44" s="84"/>
      <c r="P44" s="85"/>
    </row>
    <row r="45" spans="1:18" ht="15" x14ac:dyDescent="0.25">
      <c r="B45" s="6" t="str">
        <f>Resumo!B35</f>
        <v>ENGº CIVIL CREA: 120.263.916-0</v>
      </c>
      <c r="L45" s="86"/>
      <c r="M45" s="86"/>
    </row>
    <row r="46" spans="1:18" x14ac:dyDescent="0.2">
      <c r="L46" s="55"/>
      <c r="M46" s="55"/>
      <c r="O46" s="87"/>
    </row>
    <row r="47" spans="1:18" x14ac:dyDescent="0.2">
      <c r="G47" s="88"/>
      <c r="H47" s="88"/>
    </row>
    <row r="50" spans="7:10" x14ac:dyDescent="0.2">
      <c r="J50" s="83"/>
    </row>
    <row r="51" spans="7:10" x14ac:dyDescent="0.2">
      <c r="H51" s="88"/>
    </row>
    <row r="56" spans="7:10" x14ac:dyDescent="0.2">
      <c r="G56" s="89">
        <f>I56-H56</f>
        <v>4601530.3099999996</v>
      </c>
      <c r="H56" s="89">
        <v>263157.90000000002</v>
      </c>
      <c r="I56" s="89">
        <f>D38</f>
        <v>4864688.21</v>
      </c>
    </row>
    <row r="57" spans="7:10" x14ac:dyDescent="0.2">
      <c r="G57" s="90">
        <f>1-H57</f>
        <v>0.94590446732900002</v>
      </c>
      <c r="H57" s="90">
        <f>H56/I56</f>
        <v>5.4095532671E-2</v>
      </c>
      <c r="I57" s="90">
        <f>SUM(G57:H57)</f>
        <v>1</v>
      </c>
    </row>
  </sheetData>
  <mergeCells count="150">
    <mergeCell ref="J37:K37"/>
    <mergeCell ref="L37:M37"/>
    <mergeCell ref="N37:O37"/>
    <mergeCell ref="L36:M36"/>
    <mergeCell ref="N36:O36"/>
    <mergeCell ref="J36:K36"/>
    <mergeCell ref="P40:P41"/>
    <mergeCell ref="P38:P39"/>
    <mergeCell ref="F40:G41"/>
    <mergeCell ref="H40:I41"/>
    <mergeCell ref="J40:K41"/>
    <mergeCell ref="L40:M41"/>
    <mergeCell ref="N40:O41"/>
    <mergeCell ref="A36:A37"/>
    <mergeCell ref="B36:B37"/>
    <mergeCell ref="C36:C37"/>
    <mergeCell ref="D36:D37"/>
    <mergeCell ref="F36:G36"/>
    <mergeCell ref="H36:I36"/>
    <mergeCell ref="C38:C39"/>
    <mergeCell ref="D38:D39"/>
    <mergeCell ref="F37:G37"/>
    <mergeCell ref="H37:I37"/>
    <mergeCell ref="N32:O32"/>
    <mergeCell ref="A30:A31"/>
    <mergeCell ref="B30:B31"/>
    <mergeCell ref="C30:C31"/>
    <mergeCell ref="A34:A35"/>
    <mergeCell ref="B34:B35"/>
    <mergeCell ref="C34:C35"/>
    <mergeCell ref="D34:D35"/>
    <mergeCell ref="F34:G34"/>
    <mergeCell ref="H34:I34"/>
    <mergeCell ref="D30:D31"/>
    <mergeCell ref="F30:G30"/>
    <mergeCell ref="H30:I30"/>
    <mergeCell ref="J30:K30"/>
    <mergeCell ref="L34:M34"/>
    <mergeCell ref="N34:O34"/>
    <mergeCell ref="L30:M30"/>
    <mergeCell ref="N30:O30"/>
    <mergeCell ref="J34:K34"/>
    <mergeCell ref="A32:A33"/>
    <mergeCell ref="B32:B33"/>
    <mergeCell ref="C32:C33"/>
    <mergeCell ref="D32:D33"/>
    <mergeCell ref="F32:G32"/>
    <mergeCell ref="N28:O28"/>
    <mergeCell ref="A28:A29"/>
    <mergeCell ref="B28:B29"/>
    <mergeCell ref="C28:C29"/>
    <mergeCell ref="D28:D29"/>
    <mergeCell ref="F28:G28"/>
    <mergeCell ref="H28:I28"/>
    <mergeCell ref="J28:K28"/>
    <mergeCell ref="L26:M26"/>
    <mergeCell ref="N26:O26"/>
    <mergeCell ref="A26:A27"/>
    <mergeCell ref="B26:B27"/>
    <mergeCell ref="C26:C27"/>
    <mergeCell ref="D26:D27"/>
    <mergeCell ref="F26:G26"/>
    <mergeCell ref="H26:I26"/>
    <mergeCell ref="J26:K26"/>
    <mergeCell ref="L28:M28"/>
    <mergeCell ref="H32:I32"/>
    <mergeCell ref="J32:K32"/>
    <mergeCell ref="L32:M32"/>
    <mergeCell ref="A24:A25"/>
    <mergeCell ref="B24:B25"/>
    <mergeCell ref="C24:C25"/>
    <mergeCell ref="D24:D25"/>
    <mergeCell ref="F24:G24"/>
    <mergeCell ref="H24:I24"/>
    <mergeCell ref="J24:K24"/>
    <mergeCell ref="F18:G18"/>
    <mergeCell ref="H18:I18"/>
    <mergeCell ref="J18:K18"/>
    <mergeCell ref="L22:M22"/>
    <mergeCell ref="N22:O22"/>
    <mergeCell ref="A22:A23"/>
    <mergeCell ref="B22:B23"/>
    <mergeCell ref="L24:M24"/>
    <mergeCell ref="N24:O24"/>
    <mergeCell ref="C22:C23"/>
    <mergeCell ref="D22:D23"/>
    <mergeCell ref="F22:G22"/>
    <mergeCell ref="H22:I22"/>
    <mergeCell ref="J22:K22"/>
    <mergeCell ref="L16:M16"/>
    <mergeCell ref="N16:O16"/>
    <mergeCell ref="L20:M20"/>
    <mergeCell ref="N20:O20"/>
    <mergeCell ref="A16:A17"/>
    <mergeCell ref="B16:B17"/>
    <mergeCell ref="C16:C17"/>
    <mergeCell ref="D16:D17"/>
    <mergeCell ref="F16:G16"/>
    <mergeCell ref="H16:I16"/>
    <mergeCell ref="J16:K16"/>
    <mergeCell ref="A20:A21"/>
    <mergeCell ref="B20:B21"/>
    <mergeCell ref="C20:C21"/>
    <mergeCell ref="D20:D21"/>
    <mergeCell ref="F20:G20"/>
    <mergeCell ref="H20:I20"/>
    <mergeCell ref="J20:K20"/>
    <mergeCell ref="L18:M18"/>
    <mergeCell ref="N18:O18"/>
    <mergeCell ref="A18:A19"/>
    <mergeCell ref="B18:B19"/>
    <mergeCell ref="C18:C19"/>
    <mergeCell ref="D18:D19"/>
    <mergeCell ref="L14:M14"/>
    <mergeCell ref="N14:O14"/>
    <mergeCell ref="A14:A15"/>
    <mergeCell ref="B14:B15"/>
    <mergeCell ref="C14:C15"/>
    <mergeCell ref="D14:D15"/>
    <mergeCell ref="F14:G14"/>
    <mergeCell ref="H14:I14"/>
    <mergeCell ref="J14:K14"/>
    <mergeCell ref="L12:M12"/>
    <mergeCell ref="N12:O12"/>
    <mergeCell ref="C10:C11"/>
    <mergeCell ref="D10:D11"/>
    <mergeCell ref="F10:G10"/>
    <mergeCell ref="H10:I10"/>
    <mergeCell ref="J10:K10"/>
    <mergeCell ref="A12:A13"/>
    <mergeCell ref="B12:B13"/>
    <mergeCell ref="C12:C13"/>
    <mergeCell ref="D12:D13"/>
    <mergeCell ref="F12:G12"/>
    <mergeCell ref="H12:I12"/>
    <mergeCell ref="J12:K12"/>
    <mergeCell ref="L10:M10"/>
    <mergeCell ref="N10:O10"/>
    <mergeCell ref="A10:A11"/>
    <mergeCell ref="B10:B11"/>
    <mergeCell ref="A7:A8"/>
    <mergeCell ref="B7:B8"/>
    <mergeCell ref="C7:C8"/>
    <mergeCell ref="F8:G8"/>
    <mergeCell ref="H8:I8"/>
    <mergeCell ref="J8:K8"/>
    <mergeCell ref="L8:M8"/>
    <mergeCell ref="N8:O8"/>
    <mergeCell ref="F7:K7"/>
    <mergeCell ref="L7:O7"/>
  </mergeCells>
  <pageMargins left="0.51181102362204722" right="0.51181102362204722" top="0.78740157480314965" bottom="0.78740157480314965" header="0.31496062992125984" footer="0.31496062992125984"/>
  <pageSetup paperSize="9" scale="76" orientation="landscape" r:id="rId1"/>
  <colBreaks count="2" manualBreakCount="2">
    <brk id="11" max="49" man="1"/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view="pageBreakPreview" topLeftCell="A23" zoomScale="115" zoomScaleNormal="100" zoomScaleSheetLayoutView="115" workbookViewId="0">
      <selection activeCell="I33" sqref="I33:I34"/>
    </sheetView>
  </sheetViews>
  <sheetFormatPr defaultRowHeight="12.75" x14ac:dyDescent="0.2"/>
  <cols>
    <col min="1" max="1" width="12.140625" style="269" customWidth="1"/>
    <col min="2" max="2" width="51.28515625" style="269" bestFit="1" customWidth="1"/>
    <col min="3" max="3" width="11.140625" style="269" customWidth="1"/>
    <col min="4" max="4" width="12.140625" style="269" bestFit="1" customWidth="1"/>
    <col min="5" max="5" width="11.42578125" style="269" bestFit="1" customWidth="1"/>
    <col min="6" max="6" width="9.140625" style="297"/>
    <col min="7" max="7" width="9.140625" style="269"/>
    <col min="8" max="8" width="14" style="269" customWidth="1"/>
    <col min="9" max="9" width="15.140625" style="269" customWidth="1"/>
    <col min="10" max="10" width="14.5703125" style="269" bestFit="1" customWidth="1"/>
    <col min="11" max="11" width="9.140625" style="269"/>
    <col min="12" max="12" width="12.85546875" style="269" bestFit="1" customWidth="1"/>
    <col min="13" max="13" width="11.7109375" style="269" bestFit="1" customWidth="1"/>
    <col min="14" max="16384" width="9.140625" style="269"/>
  </cols>
  <sheetData>
    <row r="1" spans="1:13" ht="48.75" customHeight="1" x14ac:dyDescent="0.2">
      <c r="A1" s="1084" t="s">
        <v>556</v>
      </c>
      <c r="B1" s="1085"/>
      <c r="C1" s="982" t="s">
        <v>54</v>
      </c>
      <c r="D1" s="982"/>
      <c r="E1" s="982"/>
      <c r="F1" s="982"/>
      <c r="G1" s="982"/>
      <c r="H1" s="982"/>
      <c r="I1" s="982"/>
      <c r="J1" s="983"/>
    </row>
    <row r="2" spans="1:13" ht="52.5" customHeight="1" x14ac:dyDescent="0.2">
      <c r="A2" s="1086"/>
      <c r="B2" s="1087"/>
      <c r="C2" s="985" t="s">
        <v>630</v>
      </c>
      <c r="D2" s="985"/>
      <c r="E2" s="985"/>
      <c r="F2" s="985"/>
      <c r="G2" s="985"/>
      <c r="H2" s="985"/>
      <c r="I2" s="985"/>
      <c r="J2" s="986"/>
    </row>
    <row r="3" spans="1:13" s="406" customFormat="1" ht="15" x14ac:dyDescent="0.2">
      <c r="A3" s="395" t="s">
        <v>55</v>
      </c>
      <c r="B3" s="1100" t="s">
        <v>663</v>
      </c>
      <c r="C3" s="1101"/>
      <c r="D3" s="1101"/>
      <c r="E3" s="1101"/>
      <c r="F3" s="1101"/>
      <c r="G3" s="1101"/>
      <c r="H3" s="1102"/>
      <c r="I3" s="1094" t="s">
        <v>703</v>
      </c>
      <c r="J3" s="1095"/>
    </row>
    <row r="4" spans="1:13" s="406" customFormat="1" ht="15" customHeight="1" x14ac:dyDescent="0.2">
      <c r="A4" s="395" t="s">
        <v>56</v>
      </c>
      <c r="B4" s="1093" t="s">
        <v>629</v>
      </c>
      <c r="C4" s="1093"/>
      <c r="D4" s="1093"/>
      <c r="E4" s="1093"/>
      <c r="F4" s="1093"/>
      <c r="G4" s="1093"/>
      <c r="H4" s="1093"/>
      <c r="I4" s="1096"/>
      <c r="J4" s="1097"/>
    </row>
    <row r="5" spans="1:13" s="406" customFormat="1" ht="18.75" customHeight="1" x14ac:dyDescent="0.2">
      <c r="A5" s="395" t="s">
        <v>57</v>
      </c>
      <c r="B5" s="1092" t="s">
        <v>630</v>
      </c>
      <c r="C5" s="1092"/>
      <c r="D5" s="1092"/>
      <c r="E5" s="407" t="s">
        <v>374</v>
      </c>
      <c r="F5" s="1091" t="s">
        <v>701</v>
      </c>
      <c r="G5" s="1091"/>
      <c r="H5" s="1091"/>
      <c r="I5" s="1096"/>
      <c r="J5" s="1097"/>
    </row>
    <row r="6" spans="1:13" s="406" customFormat="1" ht="19.5" customHeight="1" thickBot="1" x14ac:dyDescent="0.25">
      <c r="A6" s="408" t="s">
        <v>397</v>
      </c>
      <c r="B6" s="1088">
        <v>41980.480000000003</v>
      </c>
      <c r="C6" s="1088"/>
      <c r="D6" s="1088"/>
      <c r="E6" s="409" t="s">
        <v>59</v>
      </c>
      <c r="F6" s="1089">
        <v>0.20699999999999999</v>
      </c>
      <c r="G6" s="1090"/>
      <c r="H6" s="409" t="s">
        <v>60</v>
      </c>
      <c r="I6" s="1098"/>
      <c r="J6" s="1099"/>
    </row>
    <row r="7" spans="1:13" ht="21.75" customHeight="1" thickBot="1" x14ac:dyDescent="0.25">
      <c r="A7" s="1107" t="s">
        <v>231</v>
      </c>
      <c r="B7" s="1108"/>
      <c r="C7" s="1108"/>
      <c r="D7" s="1108"/>
      <c r="E7" s="1108"/>
      <c r="F7" s="1108"/>
      <c r="G7" s="1108"/>
      <c r="H7" s="1108"/>
      <c r="I7" s="1108"/>
      <c r="J7" s="1109"/>
    </row>
    <row r="8" spans="1:13" ht="14.25" x14ac:dyDescent="0.2">
      <c r="A8" s="1110" t="s">
        <v>61</v>
      </c>
      <c r="B8" s="1112" t="s">
        <v>62</v>
      </c>
      <c r="C8" s="1112" t="s">
        <v>380</v>
      </c>
      <c r="D8" s="1112" t="s">
        <v>398</v>
      </c>
      <c r="E8" s="1112" t="s">
        <v>399</v>
      </c>
      <c r="F8" s="1112" t="s">
        <v>64</v>
      </c>
      <c r="G8" s="1112"/>
      <c r="H8" s="1112"/>
      <c r="I8" s="1112"/>
      <c r="J8" s="1114" t="s">
        <v>65</v>
      </c>
    </row>
    <row r="9" spans="1:13" ht="28.5" x14ac:dyDescent="0.2">
      <c r="A9" s="1111"/>
      <c r="B9" s="1113"/>
      <c r="C9" s="1113"/>
      <c r="D9" s="1113"/>
      <c r="E9" s="1113"/>
      <c r="F9" s="692" t="s">
        <v>66</v>
      </c>
      <c r="G9" s="692" t="s">
        <v>67</v>
      </c>
      <c r="H9" s="692" t="s">
        <v>68</v>
      </c>
      <c r="I9" s="692" t="s">
        <v>427</v>
      </c>
      <c r="J9" s="1115"/>
    </row>
    <row r="10" spans="1:13" ht="14.25" hidden="1" x14ac:dyDescent="0.2">
      <c r="A10" s="1111" t="s">
        <v>385</v>
      </c>
      <c r="B10" s="1113"/>
      <c r="C10" s="1113"/>
      <c r="D10" s="1113"/>
      <c r="E10" s="1113"/>
      <c r="F10" s="1113"/>
      <c r="G10" s="1113"/>
      <c r="H10" s="1113"/>
      <c r="I10" s="1113"/>
      <c r="J10" s="1115"/>
    </row>
    <row r="11" spans="1:13" ht="18.75" customHeight="1" x14ac:dyDescent="0.2">
      <c r="A11" s="694">
        <v>1</v>
      </c>
      <c r="B11" s="695" t="s">
        <v>631</v>
      </c>
      <c r="C11" s="696">
        <v>600.13</v>
      </c>
      <c r="D11" s="696">
        <v>8.26</v>
      </c>
      <c r="E11" s="697">
        <v>4957.07</v>
      </c>
      <c r="F11" s="582" t="s">
        <v>349</v>
      </c>
      <c r="G11" s="383">
        <v>6</v>
      </c>
      <c r="H11" s="583">
        <v>38.4</v>
      </c>
      <c r="I11" s="584">
        <v>230.4</v>
      </c>
      <c r="J11" s="693">
        <v>5187.47</v>
      </c>
      <c r="K11" s="295"/>
      <c r="M11" s="295"/>
    </row>
    <row r="12" spans="1:13" ht="18.75" customHeight="1" x14ac:dyDescent="0.2">
      <c r="A12" s="694">
        <v>2</v>
      </c>
      <c r="B12" s="695" t="s">
        <v>632</v>
      </c>
      <c r="C12" s="696">
        <v>600.13</v>
      </c>
      <c r="D12" s="696">
        <v>8.26</v>
      </c>
      <c r="E12" s="697">
        <v>4957.07</v>
      </c>
      <c r="F12" s="582" t="s">
        <v>349</v>
      </c>
      <c r="G12" s="383">
        <v>6</v>
      </c>
      <c r="H12" s="583">
        <v>38.4</v>
      </c>
      <c r="I12" s="584">
        <v>230.4</v>
      </c>
      <c r="J12" s="693">
        <v>5187.47</v>
      </c>
      <c r="K12" s="295"/>
      <c r="M12" s="295"/>
    </row>
    <row r="13" spans="1:13" ht="18.75" customHeight="1" x14ac:dyDescent="0.2">
      <c r="A13" s="694">
        <v>3</v>
      </c>
      <c r="B13" s="695" t="s">
        <v>633</v>
      </c>
      <c r="C13" s="696">
        <v>799.13</v>
      </c>
      <c r="D13" s="696">
        <v>8.26</v>
      </c>
      <c r="E13" s="697">
        <v>6600.81</v>
      </c>
      <c r="F13" s="582" t="s">
        <v>349</v>
      </c>
      <c r="G13" s="383">
        <v>8</v>
      </c>
      <c r="H13" s="583">
        <v>38.4</v>
      </c>
      <c r="I13" s="584">
        <v>307.2</v>
      </c>
      <c r="J13" s="693">
        <v>6908.01</v>
      </c>
      <c r="K13" s="295"/>
      <c r="M13" s="295"/>
    </row>
    <row r="14" spans="1:13" ht="18.75" customHeight="1" x14ac:dyDescent="0.2">
      <c r="A14" s="694">
        <v>4</v>
      </c>
      <c r="B14" s="695" t="s">
        <v>634</v>
      </c>
      <c r="C14" s="696">
        <v>199</v>
      </c>
      <c r="D14" s="696">
        <v>8.26</v>
      </c>
      <c r="E14" s="697">
        <v>1643.74</v>
      </c>
      <c r="F14" s="582" t="s">
        <v>349</v>
      </c>
      <c r="G14" s="383">
        <v>1</v>
      </c>
      <c r="H14" s="583">
        <v>38.4</v>
      </c>
      <c r="I14" s="584">
        <v>38.4</v>
      </c>
      <c r="J14" s="693">
        <v>1682.14</v>
      </c>
      <c r="K14" s="295"/>
      <c r="M14" s="295"/>
    </row>
    <row r="15" spans="1:13" ht="18.75" customHeight="1" x14ac:dyDescent="0.2">
      <c r="A15" s="694">
        <v>5</v>
      </c>
      <c r="B15" s="695" t="s">
        <v>635</v>
      </c>
      <c r="C15" s="696">
        <v>199</v>
      </c>
      <c r="D15" s="696">
        <v>8.26</v>
      </c>
      <c r="E15" s="697">
        <v>1643.74</v>
      </c>
      <c r="F15" s="582" t="s">
        <v>349</v>
      </c>
      <c r="G15" s="383">
        <v>1</v>
      </c>
      <c r="H15" s="583">
        <v>38.4</v>
      </c>
      <c r="I15" s="584">
        <v>38.4</v>
      </c>
      <c r="J15" s="693">
        <v>1682.14</v>
      </c>
      <c r="K15" s="295"/>
      <c r="M15" s="295"/>
    </row>
    <row r="16" spans="1:13" ht="18.75" customHeight="1" x14ac:dyDescent="0.2">
      <c r="A16" s="694">
        <v>6</v>
      </c>
      <c r="B16" s="695" t="s">
        <v>636</v>
      </c>
      <c r="C16" s="696">
        <v>202.26</v>
      </c>
      <c r="D16" s="696">
        <v>8.26</v>
      </c>
      <c r="E16" s="697">
        <v>1670.67</v>
      </c>
      <c r="F16" s="582" t="s">
        <v>349</v>
      </c>
      <c r="G16" s="383">
        <v>3</v>
      </c>
      <c r="H16" s="583">
        <v>38.4</v>
      </c>
      <c r="I16" s="584">
        <v>115.2</v>
      </c>
      <c r="J16" s="693">
        <v>1785.87</v>
      </c>
      <c r="K16" s="295"/>
      <c r="M16" s="295"/>
    </row>
    <row r="17" spans="1:13" ht="18.75" customHeight="1" x14ac:dyDescent="0.2">
      <c r="A17" s="694">
        <v>7</v>
      </c>
      <c r="B17" s="695" t="s">
        <v>637</v>
      </c>
      <c r="C17" s="696">
        <v>264.13</v>
      </c>
      <c r="D17" s="696">
        <v>8.26</v>
      </c>
      <c r="E17" s="697">
        <v>2181.71</v>
      </c>
      <c r="F17" s="582"/>
      <c r="G17" s="383"/>
      <c r="H17" s="583"/>
      <c r="I17" s="584">
        <v>0</v>
      </c>
      <c r="J17" s="693">
        <v>2181.71</v>
      </c>
      <c r="K17" s="295"/>
      <c r="M17" s="295"/>
    </row>
    <row r="18" spans="1:13" ht="18.75" customHeight="1" x14ac:dyDescent="0.2">
      <c r="A18" s="694">
        <v>8</v>
      </c>
      <c r="B18" s="695" t="s">
        <v>638</v>
      </c>
      <c r="C18" s="696">
        <v>264.13</v>
      </c>
      <c r="D18" s="696">
        <v>8.26</v>
      </c>
      <c r="E18" s="697">
        <v>2181.71</v>
      </c>
      <c r="F18" s="582"/>
      <c r="G18" s="383"/>
      <c r="H18" s="583"/>
      <c r="I18" s="584">
        <v>0</v>
      </c>
      <c r="J18" s="693">
        <v>2181.71</v>
      </c>
      <c r="K18" s="295"/>
      <c r="M18" s="295"/>
    </row>
    <row r="19" spans="1:13" ht="18.75" customHeight="1" x14ac:dyDescent="0.2">
      <c r="A19" s="694">
        <v>9</v>
      </c>
      <c r="B19" s="695" t="s">
        <v>639</v>
      </c>
      <c r="C19" s="696">
        <v>264.13</v>
      </c>
      <c r="D19" s="696">
        <v>8.26</v>
      </c>
      <c r="E19" s="697">
        <v>2181.71</v>
      </c>
      <c r="F19" s="582"/>
      <c r="G19" s="383"/>
      <c r="H19" s="583"/>
      <c r="I19" s="584">
        <v>0</v>
      </c>
      <c r="J19" s="693">
        <v>2181.71</v>
      </c>
      <c r="K19" s="295"/>
      <c r="M19" s="295"/>
    </row>
    <row r="20" spans="1:13" ht="18.75" customHeight="1" x14ac:dyDescent="0.2">
      <c r="A20" s="694">
        <v>10</v>
      </c>
      <c r="B20" s="695" t="s">
        <v>642</v>
      </c>
      <c r="C20" s="748">
        <v>597</v>
      </c>
      <c r="D20" s="696">
        <v>8.26</v>
      </c>
      <c r="E20" s="697">
        <v>4931.22</v>
      </c>
      <c r="F20" s="582" t="s">
        <v>349</v>
      </c>
      <c r="G20" s="383">
        <v>4</v>
      </c>
      <c r="H20" s="583">
        <v>38.4</v>
      </c>
      <c r="I20" s="584">
        <v>153.6</v>
      </c>
      <c r="J20" s="693">
        <v>5084.82</v>
      </c>
      <c r="K20" s="295"/>
      <c r="M20" s="295"/>
    </row>
    <row r="21" spans="1:13" ht="18.75" customHeight="1" x14ac:dyDescent="0.2">
      <c r="A21" s="694">
        <v>11</v>
      </c>
      <c r="B21" s="695" t="s">
        <v>643</v>
      </c>
      <c r="C21" s="748">
        <v>597</v>
      </c>
      <c r="D21" s="696">
        <v>8.26</v>
      </c>
      <c r="E21" s="697">
        <v>4931.22</v>
      </c>
      <c r="F21" s="582" t="s">
        <v>349</v>
      </c>
      <c r="G21" s="383">
        <v>4</v>
      </c>
      <c r="H21" s="583">
        <v>38.4</v>
      </c>
      <c r="I21" s="584">
        <v>153.6</v>
      </c>
      <c r="J21" s="693">
        <v>5084.82</v>
      </c>
      <c r="K21" s="295"/>
      <c r="M21" s="295"/>
    </row>
    <row r="22" spans="1:13" ht="18.75" customHeight="1" x14ac:dyDescent="0.2">
      <c r="A22" s="1118">
        <v>12</v>
      </c>
      <c r="B22" s="1120" t="s">
        <v>640</v>
      </c>
      <c r="C22" s="1122">
        <v>296.67</v>
      </c>
      <c r="D22" s="1124">
        <v>8.26</v>
      </c>
      <c r="E22" s="1080">
        <v>2450.4899999999998</v>
      </c>
      <c r="F22" s="582" t="s">
        <v>349</v>
      </c>
      <c r="G22" s="383">
        <v>4</v>
      </c>
      <c r="H22" s="583">
        <v>38.4</v>
      </c>
      <c r="I22" s="584">
        <v>153.6</v>
      </c>
      <c r="J22" s="1082">
        <v>2832.61</v>
      </c>
      <c r="K22" s="295"/>
      <c r="M22" s="295"/>
    </row>
    <row r="23" spans="1:13" ht="18.75" customHeight="1" x14ac:dyDescent="0.2">
      <c r="A23" s="1119"/>
      <c r="B23" s="1121"/>
      <c r="C23" s="1123"/>
      <c r="D23" s="1125"/>
      <c r="E23" s="1081"/>
      <c r="F23" s="582" t="s">
        <v>641</v>
      </c>
      <c r="G23" s="383">
        <v>1</v>
      </c>
      <c r="H23" s="583">
        <v>228.52</v>
      </c>
      <c r="I23" s="584">
        <v>228.52</v>
      </c>
      <c r="J23" s="1083"/>
      <c r="K23" s="295"/>
      <c r="M23" s="295"/>
    </row>
    <row r="24" spans="1:13" ht="18.75" customHeight="1" x14ac:dyDescent="0.2">
      <c r="A24" s="694"/>
      <c r="B24" s="695"/>
      <c r="C24" s="696"/>
      <c r="D24" s="696"/>
      <c r="E24" s="697"/>
      <c r="F24" s="582"/>
      <c r="G24" s="383"/>
      <c r="H24" s="583"/>
      <c r="I24" s="584"/>
      <c r="J24" s="693"/>
      <c r="K24" s="295"/>
      <c r="M24" s="295"/>
    </row>
    <row r="25" spans="1:13" ht="18.75" customHeight="1" x14ac:dyDescent="0.2">
      <c r="A25" s="1116" t="s">
        <v>69</v>
      </c>
      <c r="B25" s="1117"/>
      <c r="C25" s="585">
        <v>4882.71</v>
      </c>
      <c r="D25" s="585"/>
      <c r="E25" s="585">
        <v>40331.160000000003</v>
      </c>
      <c r="F25" s="582"/>
      <c r="G25" s="586"/>
      <c r="H25" s="582"/>
      <c r="I25" s="585">
        <v>1649.32</v>
      </c>
      <c r="J25" s="587">
        <v>41980.480000000003</v>
      </c>
      <c r="K25" s="295"/>
      <c r="M25" s="295"/>
    </row>
    <row r="26" spans="1:13" ht="18.75" customHeight="1" thickBot="1" x14ac:dyDescent="0.25">
      <c r="A26" s="1103" t="s">
        <v>70</v>
      </c>
      <c r="B26" s="1104"/>
      <c r="C26" s="1105">
        <v>41980.480000000003</v>
      </c>
      <c r="D26" s="1105"/>
      <c r="E26" s="1105"/>
      <c r="F26" s="1105"/>
      <c r="G26" s="1105"/>
      <c r="H26" s="1105"/>
      <c r="I26" s="1105"/>
      <c r="J26" s="1106"/>
      <c r="K26" s="295"/>
      <c r="M26" s="295"/>
    </row>
    <row r="27" spans="1:13" ht="54" customHeight="1" x14ac:dyDescent="0.2">
      <c r="A27" s="38"/>
      <c r="B27" s="38"/>
      <c r="C27" s="39"/>
      <c r="D27" s="39"/>
      <c r="E27" s="39"/>
      <c r="F27" s="39"/>
      <c r="G27" s="39"/>
      <c r="H27" s="39"/>
      <c r="I27" s="39"/>
      <c r="J27" s="39"/>
      <c r="K27" s="295"/>
      <c r="M27" s="295"/>
    </row>
    <row r="28" spans="1:13" x14ac:dyDescent="0.2">
      <c r="B28" s="296" t="s">
        <v>177</v>
      </c>
    </row>
    <row r="29" spans="1:13" x14ac:dyDescent="0.2">
      <c r="B29" s="782" t="s">
        <v>537</v>
      </c>
    </row>
    <row r="30" spans="1:13" x14ac:dyDescent="0.2">
      <c r="H30" s="788"/>
    </row>
  </sheetData>
  <mergeCells count="28">
    <mergeCell ref="A26:B26"/>
    <mergeCell ref="C26:J26"/>
    <mergeCell ref="A7:J7"/>
    <mergeCell ref="A8:A9"/>
    <mergeCell ref="B8:B9"/>
    <mergeCell ref="C8:C9"/>
    <mergeCell ref="D8:D9"/>
    <mergeCell ref="E8:E9"/>
    <mergeCell ref="F8:I8"/>
    <mergeCell ref="J8:J9"/>
    <mergeCell ref="A25:B25"/>
    <mergeCell ref="A10:J10"/>
    <mergeCell ref="A22:A23"/>
    <mergeCell ref="B22:B23"/>
    <mergeCell ref="C22:C23"/>
    <mergeCell ref="D22:D23"/>
    <mergeCell ref="E22:E23"/>
    <mergeCell ref="J22:J23"/>
    <mergeCell ref="A1:B2"/>
    <mergeCell ref="C1:J1"/>
    <mergeCell ref="C2:J2"/>
    <mergeCell ref="B6:D6"/>
    <mergeCell ref="F6:G6"/>
    <mergeCell ref="F5:H5"/>
    <mergeCell ref="B5:D5"/>
    <mergeCell ref="B4:H4"/>
    <mergeCell ref="I3:J6"/>
    <mergeCell ref="B3:H3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68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view="pageBreakPreview" topLeftCell="A5" zoomScale="115" zoomScaleSheetLayoutView="115" workbookViewId="0">
      <selection activeCell="L9" sqref="L9"/>
    </sheetView>
  </sheetViews>
  <sheetFormatPr defaultColWidth="11.42578125" defaultRowHeight="12.75" x14ac:dyDescent="0.2"/>
  <cols>
    <col min="1" max="1" width="12.85546875" style="274" customWidth="1"/>
    <col min="2" max="2" width="14.28515625" style="274" customWidth="1"/>
    <col min="3" max="3" width="8.7109375" style="274" customWidth="1"/>
    <col min="4" max="4" width="17.85546875" style="274" customWidth="1"/>
    <col min="5" max="5" width="16.7109375" style="485" customWidth="1"/>
    <col min="6" max="6" width="18.140625" style="274" customWidth="1"/>
    <col min="7" max="7" width="1.42578125" style="274" customWidth="1"/>
    <col min="8" max="8" width="16.42578125" style="274" customWidth="1"/>
    <col min="9" max="9" width="15" style="274" customWidth="1"/>
    <col min="10" max="11" width="11.5703125" style="274" customWidth="1"/>
    <col min="12" max="12" width="3.7109375" style="274" customWidth="1"/>
    <col min="13" max="13" width="15.7109375" style="274" customWidth="1"/>
    <col min="14" max="15" width="3.7109375" style="274" customWidth="1"/>
    <col min="16" max="16" width="8" style="274" bestFit="1" customWidth="1"/>
    <col min="17" max="19" width="3.7109375" style="274" customWidth="1"/>
    <col min="20" max="16384" width="11.42578125" style="274"/>
  </cols>
  <sheetData>
    <row r="1" spans="1:10" ht="48" customHeight="1" x14ac:dyDescent="0.2">
      <c r="A1" s="1138" t="s">
        <v>556</v>
      </c>
      <c r="B1" s="1139"/>
      <c r="C1" s="1139"/>
      <c r="D1" s="1139"/>
      <c r="E1" s="982" t="s">
        <v>54</v>
      </c>
      <c r="F1" s="982"/>
      <c r="G1" s="982"/>
      <c r="H1" s="982"/>
      <c r="I1" s="983"/>
    </row>
    <row r="2" spans="1:10" ht="48" customHeight="1" x14ac:dyDescent="0.2">
      <c r="A2" s="1140"/>
      <c r="B2" s="1141"/>
      <c r="C2" s="1141"/>
      <c r="D2" s="1141"/>
      <c r="E2" s="1142" t="s">
        <v>630</v>
      </c>
      <c r="F2" s="1142"/>
      <c r="G2" s="1142"/>
      <c r="H2" s="1142"/>
      <c r="I2" s="1143"/>
    </row>
    <row r="3" spans="1:10" ht="15" x14ac:dyDescent="0.2">
      <c r="A3" s="399" t="s">
        <v>55</v>
      </c>
      <c r="B3" s="987" t="s">
        <v>663</v>
      </c>
      <c r="C3" s="987"/>
      <c r="D3" s="987"/>
      <c r="E3" s="987"/>
      <c r="F3" s="987"/>
      <c r="G3" s="987"/>
      <c r="H3" s="987"/>
      <c r="I3" s="988"/>
    </row>
    <row r="4" spans="1:10" ht="15" x14ac:dyDescent="0.2">
      <c r="A4" s="399" t="s">
        <v>56</v>
      </c>
      <c r="B4" s="987" t="s">
        <v>629</v>
      </c>
      <c r="C4" s="987"/>
      <c r="D4" s="987"/>
      <c r="E4" s="987"/>
      <c r="F4" s="987"/>
      <c r="G4" s="1144" t="s">
        <v>59</v>
      </c>
      <c r="H4" s="1144"/>
      <c r="I4" s="411">
        <v>0.20699999999999999</v>
      </c>
    </row>
    <row r="5" spans="1:10" ht="19.5" customHeight="1" x14ac:dyDescent="0.2">
      <c r="A5" s="399" t="s">
        <v>57</v>
      </c>
      <c r="B5" s="987" t="s">
        <v>630</v>
      </c>
      <c r="C5" s="987"/>
      <c r="D5" s="987"/>
      <c r="E5" s="481" t="s">
        <v>374</v>
      </c>
      <c r="F5" s="412" t="s">
        <v>701</v>
      </c>
      <c r="G5" s="991" t="s">
        <v>703</v>
      </c>
      <c r="H5" s="991"/>
      <c r="I5" s="992"/>
    </row>
    <row r="6" spans="1:10" ht="24" customHeight="1" thickBot="1" x14ac:dyDescent="0.25">
      <c r="A6" s="402" t="s">
        <v>58</v>
      </c>
      <c r="B6" s="990">
        <v>41980.480000000003</v>
      </c>
      <c r="C6" s="990"/>
      <c r="D6" s="990"/>
      <c r="E6" s="990"/>
      <c r="F6" s="403" t="s">
        <v>60</v>
      </c>
      <c r="G6" s="993"/>
      <c r="H6" s="993"/>
      <c r="I6" s="994"/>
    </row>
    <row r="7" spans="1:10" ht="20.25" customHeight="1" thickBot="1" x14ac:dyDescent="0.25">
      <c r="A7" s="1131" t="s">
        <v>312</v>
      </c>
      <c r="B7" s="1132"/>
      <c r="C7" s="1132"/>
      <c r="D7" s="1132"/>
      <c r="E7" s="1132"/>
      <c r="F7" s="1132"/>
      <c r="G7" s="1132"/>
      <c r="H7" s="1132"/>
      <c r="I7" s="1133"/>
    </row>
    <row r="8" spans="1:10" ht="15.75" customHeight="1" x14ac:dyDescent="0.2">
      <c r="A8" s="1128"/>
      <c r="B8" s="1129"/>
      <c r="C8" s="1129"/>
      <c r="D8" s="1130"/>
      <c r="E8" s="1134" t="s">
        <v>313</v>
      </c>
      <c r="F8" s="1134"/>
      <c r="G8" s="811"/>
      <c r="H8" s="1134" t="s">
        <v>314</v>
      </c>
      <c r="I8" s="1135"/>
    </row>
    <row r="9" spans="1:10" ht="44.25" customHeight="1" x14ac:dyDescent="0.2">
      <c r="A9" s="1136" t="s">
        <v>315</v>
      </c>
      <c r="B9" s="1137"/>
      <c r="C9" s="1137"/>
      <c r="D9" s="1137"/>
      <c r="E9" s="812" t="s">
        <v>376</v>
      </c>
      <c r="F9" s="813" t="s">
        <v>375</v>
      </c>
      <c r="G9" s="814"/>
      <c r="H9" s="814" t="s">
        <v>317</v>
      </c>
      <c r="I9" s="815" t="s">
        <v>316</v>
      </c>
    </row>
    <row r="10" spans="1:10" ht="26.25" customHeight="1" x14ac:dyDescent="0.2">
      <c r="A10" s="1126" t="s">
        <v>631</v>
      </c>
      <c r="B10" s="1127"/>
      <c r="C10" s="1127"/>
      <c r="D10" s="1127"/>
      <c r="E10" s="482">
        <v>1652.62</v>
      </c>
      <c r="F10" s="275">
        <v>0</v>
      </c>
      <c r="G10" s="275"/>
      <c r="H10" s="275">
        <v>1652.62</v>
      </c>
      <c r="I10" s="564">
        <v>0</v>
      </c>
      <c r="J10" s="276"/>
    </row>
    <row r="11" spans="1:10" ht="26.25" customHeight="1" x14ac:dyDescent="0.2">
      <c r="A11" s="1126" t="s">
        <v>632</v>
      </c>
      <c r="B11" s="1127"/>
      <c r="C11" s="1127"/>
      <c r="D11" s="1127"/>
      <c r="E11" s="482">
        <v>1753.09</v>
      </c>
      <c r="F11" s="275"/>
      <c r="G11" s="275"/>
      <c r="H11" s="275">
        <v>3405.71</v>
      </c>
      <c r="I11" s="564">
        <v>0</v>
      </c>
      <c r="J11" s="276"/>
    </row>
    <row r="12" spans="1:10" ht="26.25" customHeight="1" x14ac:dyDescent="0.2">
      <c r="A12" s="1126" t="s">
        <v>633</v>
      </c>
      <c r="B12" s="1127"/>
      <c r="C12" s="1127"/>
      <c r="D12" s="1127"/>
      <c r="E12" s="482">
        <v>2085.66</v>
      </c>
      <c r="F12" s="275">
        <v>2.73</v>
      </c>
      <c r="G12" s="275"/>
      <c r="H12" s="275">
        <v>5491.37</v>
      </c>
      <c r="I12" s="564">
        <v>2.73</v>
      </c>
      <c r="J12" s="276"/>
    </row>
    <row r="13" spans="1:10" ht="26.25" customHeight="1" x14ac:dyDescent="0.2">
      <c r="A13" s="1126" t="s">
        <v>634</v>
      </c>
      <c r="B13" s="1127"/>
      <c r="C13" s="1127"/>
      <c r="D13" s="1127"/>
      <c r="E13" s="482">
        <v>581.14</v>
      </c>
      <c r="F13" s="275"/>
      <c r="G13" s="275"/>
      <c r="H13" s="275">
        <v>6072.51</v>
      </c>
      <c r="I13" s="564">
        <v>2.73</v>
      </c>
      <c r="J13" s="276"/>
    </row>
    <row r="14" spans="1:10" ht="26.25" customHeight="1" x14ac:dyDescent="0.2">
      <c r="A14" s="1126" t="s">
        <v>635</v>
      </c>
      <c r="B14" s="1127"/>
      <c r="C14" s="1127"/>
      <c r="D14" s="1127"/>
      <c r="E14" s="482">
        <v>541.42999999999995</v>
      </c>
      <c r="F14" s="275">
        <v>0</v>
      </c>
      <c r="G14" s="275"/>
      <c r="H14" s="275">
        <v>6613.94</v>
      </c>
      <c r="I14" s="564">
        <v>2.73</v>
      </c>
      <c r="J14" s="276"/>
    </row>
    <row r="15" spans="1:10" ht="26.25" customHeight="1" x14ac:dyDescent="0.2">
      <c r="A15" s="1126" t="s">
        <v>636</v>
      </c>
      <c r="B15" s="1127"/>
      <c r="C15" s="1127"/>
      <c r="D15" s="1127"/>
      <c r="E15" s="483">
        <v>509.91</v>
      </c>
      <c r="F15" s="810"/>
      <c r="G15" s="810"/>
      <c r="H15" s="275">
        <v>7123.85</v>
      </c>
      <c r="I15" s="564">
        <v>2.73</v>
      </c>
      <c r="J15" s="276"/>
    </row>
    <row r="16" spans="1:10" ht="26.25" customHeight="1" x14ac:dyDescent="0.2">
      <c r="A16" s="1126" t="s">
        <v>637</v>
      </c>
      <c r="B16" s="1127"/>
      <c r="C16" s="1127"/>
      <c r="D16" s="1127"/>
      <c r="E16" s="482">
        <v>800.4</v>
      </c>
      <c r="F16" s="275">
        <v>0</v>
      </c>
      <c r="G16" s="275"/>
      <c r="H16" s="275">
        <v>7924.25</v>
      </c>
      <c r="I16" s="564">
        <v>2.73</v>
      </c>
      <c r="J16" s="276"/>
    </row>
    <row r="17" spans="1:10" ht="26.25" customHeight="1" x14ac:dyDescent="0.2">
      <c r="A17" s="1126" t="s">
        <v>638</v>
      </c>
      <c r="B17" s="1127"/>
      <c r="C17" s="1127"/>
      <c r="D17" s="1127"/>
      <c r="E17" s="483">
        <v>774.96</v>
      </c>
      <c r="F17" s="810"/>
      <c r="G17" s="810"/>
      <c r="H17" s="275">
        <v>8699.2099999999991</v>
      </c>
      <c r="I17" s="564">
        <v>2.73</v>
      </c>
      <c r="J17" s="276"/>
    </row>
    <row r="18" spans="1:10" ht="26.25" customHeight="1" x14ac:dyDescent="0.2">
      <c r="A18" s="1126" t="s">
        <v>639</v>
      </c>
      <c r="B18" s="1127"/>
      <c r="C18" s="1127"/>
      <c r="D18" s="1127"/>
      <c r="E18" s="483">
        <v>878.21</v>
      </c>
      <c r="F18" s="810"/>
      <c r="G18" s="810"/>
      <c r="H18" s="275">
        <v>9577.42</v>
      </c>
      <c r="I18" s="564">
        <v>2.73</v>
      </c>
      <c r="J18" s="276"/>
    </row>
    <row r="19" spans="1:10" ht="26.25" customHeight="1" x14ac:dyDescent="0.2">
      <c r="A19" s="1126" t="s">
        <v>642</v>
      </c>
      <c r="B19" s="1127"/>
      <c r="C19" s="1127"/>
      <c r="D19" s="1127"/>
      <c r="E19" s="930">
        <v>1842.25</v>
      </c>
      <c r="F19" s="929"/>
      <c r="G19" s="929"/>
      <c r="H19" s="275">
        <v>11419.67</v>
      </c>
      <c r="I19" s="564">
        <v>2.73</v>
      </c>
      <c r="J19" s="276"/>
    </row>
    <row r="20" spans="1:10" ht="26.25" customHeight="1" x14ac:dyDescent="0.2">
      <c r="A20" s="1126" t="s">
        <v>643</v>
      </c>
      <c r="B20" s="1127"/>
      <c r="C20" s="1127"/>
      <c r="D20" s="1127"/>
      <c r="E20" s="930">
        <v>1755.81</v>
      </c>
      <c r="F20" s="929"/>
      <c r="G20" s="929"/>
      <c r="H20" s="275">
        <v>13175.48</v>
      </c>
      <c r="I20" s="564">
        <v>2.73</v>
      </c>
      <c r="J20" s="276"/>
    </row>
    <row r="21" spans="1:10" ht="26.25" customHeight="1" x14ac:dyDescent="0.2">
      <c r="A21" s="1126" t="s">
        <v>640</v>
      </c>
      <c r="B21" s="1127"/>
      <c r="C21" s="1127"/>
      <c r="D21" s="1127"/>
      <c r="E21" s="930">
        <v>1462.49</v>
      </c>
      <c r="F21" s="929"/>
      <c r="G21" s="929"/>
      <c r="H21" s="275">
        <v>14637.97</v>
      </c>
      <c r="I21" s="564">
        <v>2.73</v>
      </c>
      <c r="J21" s="276"/>
    </row>
    <row r="22" spans="1:10" ht="15" customHeight="1" x14ac:dyDescent="0.2">
      <c r="A22" s="1154" t="s">
        <v>379</v>
      </c>
      <c r="B22" s="1155" t="s">
        <v>506</v>
      </c>
      <c r="C22" s="1156"/>
      <c r="D22" s="816" t="s">
        <v>507</v>
      </c>
      <c r="E22" s="1160">
        <v>577.26199999999994</v>
      </c>
      <c r="F22" s="1150">
        <v>0</v>
      </c>
      <c r="G22" s="275"/>
      <c r="H22" s="1150">
        <v>15215.232</v>
      </c>
      <c r="I22" s="1145">
        <v>2.73</v>
      </c>
      <c r="J22" s="276"/>
    </row>
    <row r="23" spans="1:10" ht="15" customHeight="1" x14ac:dyDescent="0.2">
      <c r="A23" s="1154"/>
      <c r="B23" s="1157">
        <v>1649.32</v>
      </c>
      <c r="C23" s="1156"/>
      <c r="D23" s="817">
        <v>0.35</v>
      </c>
      <c r="E23" s="1160"/>
      <c r="F23" s="1150"/>
      <c r="G23" s="810"/>
      <c r="H23" s="1150"/>
      <c r="I23" s="1145"/>
    </row>
    <row r="24" spans="1:10" ht="15" customHeight="1" x14ac:dyDescent="0.2">
      <c r="A24" s="1126"/>
      <c r="B24" s="1127"/>
      <c r="C24" s="1127"/>
      <c r="D24" s="1127"/>
      <c r="E24" s="483"/>
      <c r="F24" s="818"/>
      <c r="G24" s="810"/>
      <c r="H24" s="818"/>
      <c r="I24" s="565"/>
    </row>
    <row r="25" spans="1:10" ht="15" customHeight="1" x14ac:dyDescent="0.2">
      <c r="A25" s="1158" t="s">
        <v>318</v>
      </c>
      <c r="B25" s="1159"/>
      <c r="C25" s="1159"/>
      <c r="D25" s="1159"/>
      <c r="E25" s="484"/>
      <c r="F25" s="277"/>
      <c r="G25" s="277"/>
      <c r="H25" s="277">
        <v>15215.232</v>
      </c>
      <c r="I25" s="566">
        <v>2.73</v>
      </c>
      <c r="J25" s="787"/>
    </row>
    <row r="26" spans="1:10" ht="15" customHeight="1" x14ac:dyDescent="0.2">
      <c r="A26" s="1126"/>
      <c r="B26" s="1127"/>
      <c r="C26" s="1127"/>
      <c r="D26" s="1127"/>
      <c r="E26" s="483"/>
      <c r="F26" s="810"/>
      <c r="G26" s="810"/>
      <c r="H26" s="810"/>
      <c r="I26" s="565"/>
    </row>
    <row r="27" spans="1:10" ht="13.5" thickBot="1" x14ac:dyDescent="0.25">
      <c r="A27" s="1151"/>
      <c r="B27" s="1152"/>
      <c r="C27" s="1152"/>
      <c r="D27" s="1153"/>
      <c r="E27" s="820"/>
      <c r="F27" s="819"/>
      <c r="G27" s="819"/>
      <c r="H27" s="819"/>
      <c r="I27" s="821"/>
    </row>
    <row r="28" spans="1:10" ht="13.5" thickBot="1" x14ac:dyDescent="0.25">
      <c r="A28" s="278" t="s">
        <v>319</v>
      </c>
      <c r="B28" s="279"/>
      <c r="C28" s="279"/>
      <c r="D28" s="279"/>
      <c r="E28" s="486"/>
      <c r="F28" s="279"/>
      <c r="G28" s="279"/>
      <c r="H28" s="279"/>
      <c r="I28" s="568"/>
    </row>
    <row r="29" spans="1:10" x14ac:dyDescent="0.2">
      <c r="A29" s="280"/>
      <c r="B29" s="281"/>
      <c r="C29" s="281"/>
      <c r="D29" s="281"/>
      <c r="E29" s="487"/>
      <c r="F29" s="281"/>
      <c r="G29" s="281"/>
      <c r="H29" s="282"/>
      <c r="I29" s="569"/>
    </row>
    <row r="30" spans="1:10" x14ac:dyDescent="0.2">
      <c r="A30" s="283"/>
      <c r="B30" s="284"/>
      <c r="C30" s="285"/>
      <c r="D30" s="284"/>
      <c r="E30" s="488"/>
      <c r="F30" s="1148" t="s">
        <v>320</v>
      </c>
      <c r="G30" s="1149"/>
      <c r="H30" s="937">
        <v>15215.232</v>
      </c>
      <c r="I30" s="570"/>
      <c r="J30" s="787"/>
    </row>
    <row r="31" spans="1:10" x14ac:dyDescent="0.2">
      <c r="A31" s="283"/>
      <c r="B31" s="284"/>
      <c r="C31" s="285"/>
      <c r="D31" s="284"/>
      <c r="E31" s="488"/>
      <c r="F31" s="1148" t="s">
        <v>321</v>
      </c>
      <c r="G31" s="1149"/>
      <c r="H31" s="268">
        <v>2.73</v>
      </c>
      <c r="I31" s="567"/>
    </row>
    <row r="32" spans="1:10" x14ac:dyDescent="0.2">
      <c r="A32" s="283"/>
      <c r="B32" s="284"/>
      <c r="C32" s="285"/>
      <c r="D32" s="284"/>
      <c r="E32" s="488"/>
      <c r="F32" s="1146" t="s">
        <v>319</v>
      </c>
      <c r="G32" s="1147"/>
      <c r="H32" s="268">
        <v>15212.502</v>
      </c>
      <c r="I32" s="571"/>
    </row>
    <row r="33" spans="1:13" x14ac:dyDescent="0.2">
      <c r="A33" s="283"/>
      <c r="B33" s="284"/>
      <c r="C33" s="285"/>
      <c r="D33" s="284"/>
      <c r="E33" s="488"/>
      <c r="F33" s="284"/>
      <c r="G33" s="286"/>
      <c r="H33" s="287"/>
      <c r="I33" s="571"/>
    </row>
    <row r="34" spans="1:13" s="289" customFormat="1" ht="19.5" customHeight="1" thickBot="1" x14ac:dyDescent="0.25">
      <c r="A34" s="1167" t="s">
        <v>322</v>
      </c>
      <c r="B34" s="1168"/>
      <c r="C34" s="1168"/>
      <c r="D34" s="1168"/>
      <c r="E34" s="1168"/>
      <c r="F34" s="1168"/>
      <c r="G34" s="1168"/>
      <c r="H34" s="1168"/>
      <c r="I34" s="783">
        <v>15212.502</v>
      </c>
      <c r="J34" s="288"/>
      <c r="K34" s="274"/>
      <c r="L34" s="274"/>
      <c r="M34" s="274"/>
    </row>
    <row r="35" spans="1:13" ht="21" customHeight="1" x14ac:dyDescent="0.2">
      <c r="A35" s="1161" t="s">
        <v>494</v>
      </c>
      <c r="B35" s="1162"/>
      <c r="C35" s="1162"/>
      <c r="D35" s="1162"/>
      <c r="E35" s="1162"/>
      <c r="F35" s="1162"/>
      <c r="G35" s="1162"/>
      <c r="H35" s="1162"/>
      <c r="I35" s="784">
        <v>2</v>
      </c>
    </row>
    <row r="36" spans="1:13" ht="21" customHeight="1" x14ac:dyDescent="0.2">
      <c r="A36" s="1163" t="s">
        <v>493</v>
      </c>
      <c r="B36" s="1164"/>
      <c r="C36" s="1164"/>
      <c r="D36" s="1164"/>
      <c r="E36" s="1164"/>
      <c r="F36" s="1164"/>
      <c r="G36" s="1164"/>
      <c r="H36" s="1164"/>
      <c r="I36" s="785">
        <v>1.84</v>
      </c>
    </row>
    <row r="37" spans="1:13" ht="21" customHeight="1" thickBot="1" x14ac:dyDescent="0.25">
      <c r="A37" s="1165" t="s">
        <v>495</v>
      </c>
      <c r="B37" s="1166"/>
      <c r="C37" s="1166"/>
      <c r="D37" s="1166"/>
      <c r="E37" s="1166"/>
      <c r="F37" s="1166"/>
      <c r="G37" s="1166"/>
      <c r="H37" s="1166"/>
      <c r="I37" s="786">
        <v>55982.006999999998</v>
      </c>
    </row>
    <row r="38" spans="1:13" x14ac:dyDescent="0.2">
      <c r="I38" s="290"/>
    </row>
    <row r="39" spans="1:13" x14ac:dyDescent="0.2">
      <c r="I39" s="291"/>
    </row>
    <row r="42" spans="1:13" x14ac:dyDescent="0.2">
      <c r="E42" s="489"/>
    </row>
    <row r="43" spans="1:13" x14ac:dyDescent="0.2">
      <c r="E43" s="490" t="s">
        <v>177</v>
      </c>
    </row>
    <row r="44" spans="1:13" x14ac:dyDescent="0.2">
      <c r="E44" s="489" t="s">
        <v>537</v>
      </c>
    </row>
  </sheetData>
  <mergeCells count="44">
    <mergeCell ref="A35:H35"/>
    <mergeCell ref="A36:H36"/>
    <mergeCell ref="A37:H37"/>
    <mergeCell ref="A34:H34"/>
    <mergeCell ref="A14:D14"/>
    <mergeCell ref="A15:D15"/>
    <mergeCell ref="A16:D16"/>
    <mergeCell ref="A17:D17"/>
    <mergeCell ref="F31:G31"/>
    <mergeCell ref="H22:H23"/>
    <mergeCell ref="A19:D19"/>
    <mergeCell ref="A20:D20"/>
    <mergeCell ref="A21:D21"/>
    <mergeCell ref="I22:I23"/>
    <mergeCell ref="F32:G32"/>
    <mergeCell ref="A26:D26"/>
    <mergeCell ref="F30:G30"/>
    <mergeCell ref="F22:F23"/>
    <mergeCell ref="A24:D24"/>
    <mergeCell ref="A27:D27"/>
    <mergeCell ref="A22:A23"/>
    <mergeCell ref="B22:C22"/>
    <mergeCell ref="B23:C23"/>
    <mergeCell ref="A25:D25"/>
    <mergeCell ref="E22:E23"/>
    <mergeCell ref="A1:D2"/>
    <mergeCell ref="E1:I1"/>
    <mergeCell ref="E2:I2"/>
    <mergeCell ref="B6:E6"/>
    <mergeCell ref="B4:F4"/>
    <mergeCell ref="B5:D5"/>
    <mergeCell ref="B3:I3"/>
    <mergeCell ref="G5:I6"/>
    <mergeCell ref="G4:H4"/>
    <mergeCell ref="A7:I7"/>
    <mergeCell ref="E8:F8"/>
    <mergeCell ref="H8:I8"/>
    <mergeCell ref="A9:D9"/>
    <mergeCell ref="A10:D10"/>
    <mergeCell ref="A13:D13"/>
    <mergeCell ref="A11:D11"/>
    <mergeCell ref="A8:D8"/>
    <mergeCell ref="A12:D12"/>
    <mergeCell ref="A18:D18"/>
  </mergeCells>
  <pageMargins left="0.51181102362204722" right="0.31496062992125984" top="0.78740157480314965" bottom="0.39370078740157483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view="pageBreakPreview" topLeftCell="B29" zoomScale="130" zoomScaleSheetLayoutView="130" workbookViewId="0">
      <selection activeCell="L14" sqref="L14"/>
    </sheetView>
  </sheetViews>
  <sheetFormatPr defaultRowHeight="12.75" x14ac:dyDescent="0.2"/>
  <cols>
    <col min="1" max="1" width="12" style="270" customWidth="1"/>
    <col min="2" max="2" width="42.85546875" style="270" customWidth="1"/>
    <col min="3" max="3" width="12.28515625" style="270" customWidth="1"/>
    <col min="4" max="4" width="10.140625" style="270" customWidth="1"/>
    <col min="5" max="5" width="10.85546875" style="270" customWidth="1"/>
    <col min="6" max="7" width="12" style="270" hidden="1" customWidth="1"/>
    <col min="8" max="8" width="10.85546875" style="270" hidden="1" customWidth="1"/>
    <col min="9" max="9" width="11" style="270" hidden="1" customWidth="1"/>
    <col min="10" max="10" width="11.5703125" style="270" customWidth="1"/>
    <col min="11" max="11" width="9.28515625" style="270" customWidth="1"/>
    <col min="12" max="12" width="9.85546875" style="270" customWidth="1"/>
    <col min="13" max="13" width="6.5703125" style="270" customWidth="1"/>
    <col min="14" max="14" width="11" style="270" customWidth="1"/>
    <col min="15" max="15" width="6.42578125" style="270" customWidth="1"/>
    <col min="16" max="16" width="12.85546875" style="270" customWidth="1"/>
    <col min="17" max="16384" width="9.140625" style="269"/>
  </cols>
  <sheetData>
    <row r="1" spans="1:16" ht="49.5" customHeight="1" x14ac:dyDescent="0.2">
      <c r="A1" s="1183" t="s">
        <v>556</v>
      </c>
      <c r="B1" s="1184"/>
      <c r="C1" s="982" t="s">
        <v>54</v>
      </c>
      <c r="D1" s="982"/>
      <c r="E1" s="982"/>
      <c r="F1" s="982"/>
      <c r="G1" s="982"/>
      <c r="H1" s="982"/>
      <c r="I1" s="982"/>
      <c r="J1" s="982"/>
      <c r="K1" s="982"/>
      <c r="L1" s="982"/>
      <c r="M1" s="982"/>
      <c r="N1" s="982"/>
      <c r="O1" s="982"/>
      <c r="P1" s="983"/>
    </row>
    <row r="2" spans="1:16" ht="49.5" customHeight="1" x14ac:dyDescent="0.2">
      <c r="A2" s="1185"/>
      <c r="B2" s="1186"/>
      <c r="C2" s="985" t="s">
        <v>630</v>
      </c>
      <c r="D2" s="985"/>
      <c r="E2" s="985"/>
      <c r="F2" s="985"/>
      <c r="G2" s="985"/>
      <c r="H2" s="985"/>
      <c r="I2" s="985"/>
      <c r="J2" s="985"/>
      <c r="K2" s="985"/>
      <c r="L2" s="985"/>
      <c r="M2" s="985"/>
      <c r="N2" s="985"/>
      <c r="O2" s="985"/>
      <c r="P2" s="986"/>
    </row>
    <row r="3" spans="1:16" ht="15" x14ac:dyDescent="0.2">
      <c r="A3" s="399" t="s">
        <v>55</v>
      </c>
      <c r="B3" s="987" t="s">
        <v>663</v>
      </c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8"/>
    </row>
    <row r="4" spans="1:16" ht="15" x14ac:dyDescent="0.2">
      <c r="A4" s="399" t="s">
        <v>56</v>
      </c>
      <c r="B4" s="987" t="s">
        <v>629</v>
      </c>
      <c r="C4" s="987"/>
      <c r="D4" s="987"/>
      <c r="E4" s="987"/>
      <c r="F4" s="987"/>
      <c r="G4" s="987"/>
      <c r="H4" s="987"/>
      <c r="I4" s="987"/>
      <c r="J4" s="987"/>
      <c r="K4" s="987"/>
      <c r="L4" s="991" t="s">
        <v>703</v>
      </c>
      <c r="M4" s="991"/>
      <c r="N4" s="991"/>
      <c r="O4" s="991"/>
      <c r="P4" s="992"/>
    </row>
    <row r="5" spans="1:16" ht="15.75" customHeight="1" x14ac:dyDescent="0.2">
      <c r="A5" s="399" t="s">
        <v>57</v>
      </c>
      <c r="B5" s="410" t="s">
        <v>630</v>
      </c>
      <c r="C5" s="410"/>
      <c r="D5" s="410"/>
      <c r="E5" s="401" t="s">
        <v>374</v>
      </c>
      <c r="F5" s="989" t="s">
        <v>701</v>
      </c>
      <c r="G5" s="989"/>
      <c r="H5" s="989"/>
      <c r="I5" s="989"/>
      <c r="J5" s="989"/>
      <c r="K5" s="989"/>
      <c r="L5" s="991"/>
      <c r="M5" s="991"/>
      <c r="N5" s="991"/>
      <c r="O5" s="991"/>
      <c r="P5" s="992"/>
    </row>
    <row r="6" spans="1:16" ht="15.75" thickBot="1" x14ac:dyDescent="0.25">
      <c r="A6" s="402" t="s">
        <v>58</v>
      </c>
      <c r="B6" s="733">
        <v>37813.870000000003</v>
      </c>
      <c r="C6" s="733"/>
      <c r="D6" s="733"/>
      <c r="E6" s="403" t="s">
        <v>59</v>
      </c>
      <c r="F6" s="1187">
        <v>0.20699999999999999</v>
      </c>
      <c r="G6" s="1187"/>
      <c r="H6" s="1187"/>
      <c r="I6" s="1187"/>
      <c r="J6" s="1187"/>
      <c r="K6" s="734" t="s">
        <v>60</v>
      </c>
      <c r="L6" s="993"/>
      <c r="M6" s="993"/>
      <c r="N6" s="993"/>
      <c r="O6" s="993"/>
      <c r="P6" s="994"/>
    </row>
    <row r="7" spans="1:16" ht="18.75" customHeight="1" thickBot="1" x14ac:dyDescent="0.25">
      <c r="A7" s="1171" t="s">
        <v>323</v>
      </c>
      <c r="B7" s="1172"/>
      <c r="C7" s="1172"/>
      <c r="D7" s="1172"/>
      <c r="E7" s="1172"/>
      <c r="F7" s="1172"/>
      <c r="G7" s="1172"/>
      <c r="H7" s="1172"/>
      <c r="I7" s="1172"/>
      <c r="J7" s="1172"/>
      <c r="K7" s="1172"/>
      <c r="L7" s="1172"/>
      <c r="M7" s="1172"/>
      <c r="N7" s="1172"/>
      <c r="O7" s="1172"/>
      <c r="P7" s="1173"/>
    </row>
    <row r="8" spans="1:16" ht="26.25" customHeight="1" x14ac:dyDescent="0.2">
      <c r="A8" s="1174" t="s">
        <v>61</v>
      </c>
      <c r="B8" s="1176" t="s">
        <v>62</v>
      </c>
      <c r="C8" s="1178" t="s">
        <v>65</v>
      </c>
      <c r="D8" s="1178" t="s">
        <v>324</v>
      </c>
      <c r="E8" s="1178" t="s">
        <v>325</v>
      </c>
      <c r="F8" s="1178" t="s">
        <v>326</v>
      </c>
      <c r="G8" s="1178"/>
      <c r="H8" s="1178"/>
      <c r="I8" s="1178"/>
      <c r="J8" s="1178" t="s">
        <v>327</v>
      </c>
      <c r="K8" s="1178" t="s">
        <v>328</v>
      </c>
      <c r="L8" s="1178" t="s">
        <v>329</v>
      </c>
      <c r="M8" s="1178" t="s">
        <v>330</v>
      </c>
      <c r="N8" s="1178" t="s">
        <v>587</v>
      </c>
      <c r="O8" s="1178" t="s">
        <v>330</v>
      </c>
      <c r="P8" s="1178" t="s">
        <v>662</v>
      </c>
    </row>
    <row r="9" spans="1:16" ht="28.5" customHeight="1" x14ac:dyDescent="0.2">
      <c r="A9" s="1175"/>
      <c r="B9" s="1177"/>
      <c r="C9" s="1179"/>
      <c r="D9" s="1179"/>
      <c r="E9" s="1179"/>
      <c r="F9" s="906" t="s">
        <v>331</v>
      </c>
      <c r="G9" s="906" t="s">
        <v>332</v>
      </c>
      <c r="H9" s="906" t="s">
        <v>333</v>
      </c>
      <c r="I9" s="906" t="s">
        <v>334</v>
      </c>
      <c r="J9" s="1179"/>
      <c r="K9" s="1179"/>
      <c r="L9" s="1179"/>
      <c r="M9" s="1179"/>
      <c r="N9" s="1179"/>
      <c r="O9" s="1179"/>
      <c r="P9" s="1179"/>
    </row>
    <row r="10" spans="1:16" ht="15.75" customHeight="1" x14ac:dyDescent="0.2">
      <c r="A10" s="1180" t="s">
        <v>385</v>
      </c>
      <c r="B10" s="1181"/>
      <c r="C10" s="1181"/>
      <c r="D10" s="1181"/>
      <c r="E10" s="1181"/>
      <c r="F10" s="1181"/>
      <c r="G10" s="1181"/>
      <c r="H10" s="1181"/>
      <c r="I10" s="1181"/>
      <c r="J10" s="1181"/>
      <c r="K10" s="1181"/>
      <c r="L10" s="1181"/>
      <c r="M10" s="1181"/>
      <c r="N10" s="1181"/>
      <c r="O10" s="1181"/>
      <c r="P10" s="1182"/>
    </row>
    <row r="11" spans="1:16" x14ac:dyDescent="0.2">
      <c r="A11" s="572">
        <v>1</v>
      </c>
      <c r="B11" s="573" t="s">
        <v>631</v>
      </c>
      <c r="C11" s="574">
        <v>5187.47</v>
      </c>
      <c r="D11" s="575">
        <v>0.15</v>
      </c>
      <c r="E11" s="575">
        <v>0.2</v>
      </c>
      <c r="F11" s="576"/>
      <c r="G11" s="576"/>
      <c r="H11" s="576"/>
      <c r="I11" s="576">
        <v>0</v>
      </c>
      <c r="J11" s="576">
        <v>778.12</v>
      </c>
      <c r="K11" s="576">
        <v>1037.49</v>
      </c>
      <c r="L11" s="576">
        <v>1815.61</v>
      </c>
      <c r="M11" s="575">
        <v>20</v>
      </c>
      <c r="N11" s="576">
        <v>36312.199999999997</v>
      </c>
      <c r="O11" s="575">
        <v>27</v>
      </c>
      <c r="P11" s="577">
        <v>49021.47</v>
      </c>
    </row>
    <row r="12" spans="1:16" ht="13.5" customHeight="1" x14ac:dyDescent="0.2">
      <c r="A12" s="572">
        <v>2</v>
      </c>
      <c r="B12" s="573" t="s">
        <v>632</v>
      </c>
      <c r="C12" s="574">
        <v>5187.47</v>
      </c>
      <c r="D12" s="575">
        <v>0.15</v>
      </c>
      <c r="E12" s="575">
        <v>0.2</v>
      </c>
      <c r="F12" s="576"/>
      <c r="G12" s="576"/>
      <c r="H12" s="576"/>
      <c r="I12" s="576">
        <v>0</v>
      </c>
      <c r="J12" s="576">
        <v>778.12</v>
      </c>
      <c r="K12" s="576">
        <v>1037.49</v>
      </c>
      <c r="L12" s="576">
        <v>1815.61</v>
      </c>
      <c r="M12" s="575">
        <v>20</v>
      </c>
      <c r="N12" s="576">
        <v>36312.199999999997</v>
      </c>
      <c r="O12" s="575">
        <v>27</v>
      </c>
      <c r="P12" s="577">
        <v>49021.47</v>
      </c>
    </row>
    <row r="13" spans="1:16" ht="13.5" customHeight="1" x14ac:dyDescent="0.2">
      <c r="A13" s="572">
        <v>3</v>
      </c>
      <c r="B13" s="573" t="s">
        <v>633</v>
      </c>
      <c r="C13" s="574">
        <v>6908.01</v>
      </c>
      <c r="D13" s="575">
        <v>0.15</v>
      </c>
      <c r="E13" s="575">
        <v>0.2</v>
      </c>
      <c r="F13" s="576"/>
      <c r="G13" s="576"/>
      <c r="H13" s="576"/>
      <c r="I13" s="576">
        <v>0</v>
      </c>
      <c r="J13" s="576">
        <v>1036.2</v>
      </c>
      <c r="K13" s="576">
        <v>1381.6</v>
      </c>
      <c r="L13" s="576">
        <v>2417.8000000000002</v>
      </c>
      <c r="M13" s="575">
        <v>20</v>
      </c>
      <c r="N13" s="576">
        <v>48356</v>
      </c>
      <c r="O13" s="575">
        <v>27</v>
      </c>
      <c r="P13" s="577">
        <v>65280.6</v>
      </c>
    </row>
    <row r="14" spans="1:16" ht="13.5" customHeight="1" x14ac:dyDescent="0.2">
      <c r="A14" s="572">
        <v>4</v>
      </c>
      <c r="B14" s="573" t="s">
        <v>634</v>
      </c>
      <c r="C14" s="574">
        <v>1682.14</v>
      </c>
      <c r="D14" s="575">
        <v>0.15</v>
      </c>
      <c r="E14" s="575">
        <v>0.2</v>
      </c>
      <c r="F14" s="576"/>
      <c r="G14" s="576"/>
      <c r="H14" s="576"/>
      <c r="I14" s="576">
        <v>0</v>
      </c>
      <c r="J14" s="576">
        <v>252.32</v>
      </c>
      <c r="K14" s="576">
        <v>336.43</v>
      </c>
      <c r="L14" s="576">
        <v>588.75</v>
      </c>
      <c r="M14" s="575">
        <v>20</v>
      </c>
      <c r="N14" s="576">
        <v>11775</v>
      </c>
      <c r="O14" s="575">
        <v>27</v>
      </c>
      <c r="P14" s="577">
        <v>15896.25</v>
      </c>
    </row>
    <row r="15" spans="1:16" ht="13.5" customHeight="1" x14ac:dyDescent="0.2">
      <c r="A15" s="572">
        <v>5</v>
      </c>
      <c r="B15" s="573" t="s">
        <v>635</v>
      </c>
      <c r="C15" s="574">
        <v>1682.14</v>
      </c>
      <c r="D15" s="575">
        <v>0.15</v>
      </c>
      <c r="E15" s="575">
        <v>0.2</v>
      </c>
      <c r="F15" s="576"/>
      <c r="G15" s="576"/>
      <c r="H15" s="576"/>
      <c r="I15" s="576">
        <v>0</v>
      </c>
      <c r="J15" s="576">
        <v>252.32</v>
      </c>
      <c r="K15" s="576">
        <v>336.43</v>
      </c>
      <c r="L15" s="576">
        <v>588.75</v>
      </c>
      <c r="M15" s="575">
        <v>20</v>
      </c>
      <c r="N15" s="576">
        <v>11775</v>
      </c>
      <c r="O15" s="575">
        <v>27</v>
      </c>
      <c r="P15" s="577">
        <v>15896.25</v>
      </c>
    </row>
    <row r="16" spans="1:16" ht="13.5" customHeight="1" x14ac:dyDescent="0.2">
      <c r="A16" s="572">
        <v>6</v>
      </c>
      <c r="B16" s="573" t="s">
        <v>636</v>
      </c>
      <c r="C16" s="574">
        <v>1785.87</v>
      </c>
      <c r="D16" s="575">
        <v>0.15</v>
      </c>
      <c r="E16" s="575">
        <v>0.2</v>
      </c>
      <c r="F16" s="576"/>
      <c r="G16" s="576"/>
      <c r="H16" s="576"/>
      <c r="I16" s="576">
        <v>0</v>
      </c>
      <c r="J16" s="576">
        <v>267.88</v>
      </c>
      <c r="K16" s="576">
        <v>357.17</v>
      </c>
      <c r="L16" s="576">
        <v>625.04999999999995</v>
      </c>
      <c r="M16" s="575">
        <v>20</v>
      </c>
      <c r="N16" s="576">
        <v>12501</v>
      </c>
      <c r="O16" s="575">
        <v>27</v>
      </c>
      <c r="P16" s="577">
        <v>16876.349999999999</v>
      </c>
    </row>
    <row r="17" spans="1:16" ht="13.5" customHeight="1" x14ac:dyDescent="0.2">
      <c r="A17" s="572">
        <v>7</v>
      </c>
      <c r="B17" s="573" t="s">
        <v>637</v>
      </c>
      <c r="C17" s="574">
        <v>2181.71</v>
      </c>
      <c r="D17" s="575">
        <v>0.15</v>
      </c>
      <c r="E17" s="575">
        <v>0.2</v>
      </c>
      <c r="F17" s="576"/>
      <c r="G17" s="576"/>
      <c r="H17" s="576"/>
      <c r="I17" s="576">
        <v>0</v>
      </c>
      <c r="J17" s="576">
        <v>327.26</v>
      </c>
      <c r="K17" s="576">
        <v>436.34</v>
      </c>
      <c r="L17" s="576">
        <v>763.6</v>
      </c>
      <c r="M17" s="575">
        <v>20</v>
      </c>
      <c r="N17" s="576">
        <v>15272</v>
      </c>
      <c r="O17" s="575">
        <v>27</v>
      </c>
      <c r="P17" s="577">
        <v>20617.2</v>
      </c>
    </row>
    <row r="18" spans="1:16" ht="13.5" customHeight="1" x14ac:dyDescent="0.2">
      <c r="A18" s="572">
        <v>8</v>
      </c>
      <c r="B18" s="573" t="s">
        <v>638</v>
      </c>
      <c r="C18" s="574">
        <v>2181.71</v>
      </c>
      <c r="D18" s="575">
        <v>0.15</v>
      </c>
      <c r="E18" s="575">
        <v>0.2</v>
      </c>
      <c r="F18" s="576"/>
      <c r="G18" s="576"/>
      <c r="H18" s="576"/>
      <c r="I18" s="576">
        <v>0</v>
      </c>
      <c r="J18" s="576">
        <v>327.26</v>
      </c>
      <c r="K18" s="576">
        <v>436.34</v>
      </c>
      <c r="L18" s="576">
        <v>763.6</v>
      </c>
      <c r="M18" s="575">
        <v>20</v>
      </c>
      <c r="N18" s="576">
        <v>15272</v>
      </c>
      <c r="O18" s="575">
        <v>27</v>
      </c>
      <c r="P18" s="577">
        <v>20617.2</v>
      </c>
    </row>
    <row r="19" spans="1:16" ht="13.5" customHeight="1" x14ac:dyDescent="0.2">
      <c r="A19" s="572">
        <v>9</v>
      </c>
      <c r="B19" s="573" t="s">
        <v>639</v>
      </c>
      <c r="C19" s="574">
        <v>2181.71</v>
      </c>
      <c r="D19" s="575">
        <v>0.15</v>
      </c>
      <c r="E19" s="575">
        <v>0.2</v>
      </c>
      <c r="F19" s="576"/>
      <c r="G19" s="576"/>
      <c r="H19" s="576"/>
      <c r="I19" s="576">
        <v>0</v>
      </c>
      <c r="J19" s="576">
        <v>327.26</v>
      </c>
      <c r="K19" s="576">
        <v>436.34</v>
      </c>
      <c r="L19" s="576">
        <v>763.6</v>
      </c>
      <c r="M19" s="575">
        <v>20</v>
      </c>
      <c r="N19" s="576">
        <v>15272</v>
      </c>
      <c r="O19" s="575">
        <v>27</v>
      </c>
      <c r="P19" s="577">
        <v>20617.2</v>
      </c>
    </row>
    <row r="20" spans="1:16" ht="13.5" customHeight="1" x14ac:dyDescent="0.2">
      <c r="A20" s="572">
        <v>10</v>
      </c>
      <c r="B20" s="573" t="s">
        <v>642</v>
      </c>
      <c r="C20" s="574">
        <v>5084.82</v>
      </c>
      <c r="D20" s="575">
        <v>0.15</v>
      </c>
      <c r="E20" s="575">
        <v>0.2</v>
      </c>
      <c r="F20" s="576"/>
      <c r="G20" s="576"/>
      <c r="H20" s="576"/>
      <c r="I20" s="576">
        <v>0</v>
      </c>
      <c r="J20" s="576">
        <v>762.72</v>
      </c>
      <c r="K20" s="576">
        <v>1016.96</v>
      </c>
      <c r="L20" s="576">
        <v>1779.68</v>
      </c>
      <c r="M20" s="575">
        <v>20</v>
      </c>
      <c r="N20" s="576">
        <v>35593.599999999999</v>
      </c>
      <c r="O20" s="575">
        <v>27</v>
      </c>
      <c r="P20" s="577">
        <v>48051.360000000001</v>
      </c>
    </row>
    <row r="21" spans="1:16" ht="13.5" customHeight="1" x14ac:dyDescent="0.2">
      <c r="A21" s="572">
        <v>11</v>
      </c>
      <c r="B21" s="573" t="s">
        <v>643</v>
      </c>
      <c r="C21" s="574">
        <v>5084.82</v>
      </c>
      <c r="D21" s="575">
        <v>0.15</v>
      </c>
      <c r="E21" s="575">
        <v>0.2</v>
      </c>
      <c r="F21" s="576"/>
      <c r="G21" s="576"/>
      <c r="H21" s="576"/>
      <c r="I21" s="576">
        <v>0</v>
      </c>
      <c r="J21" s="576">
        <v>762.72</v>
      </c>
      <c r="K21" s="576">
        <v>1016.96</v>
      </c>
      <c r="L21" s="576">
        <v>1779.68</v>
      </c>
      <c r="M21" s="575">
        <v>20</v>
      </c>
      <c r="N21" s="576">
        <v>35593.599999999999</v>
      </c>
      <c r="O21" s="575">
        <v>27</v>
      </c>
      <c r="P21" s="577">
        <v>48051.360000000001</v>
      </c>
    </row>
    <row r="22" spans="1:16" ht="13.5" customHeight="1" x14ac:dyDescent="0.2">
      <c r="A22" s="572">
        <v>12</v>
      </c>
      <c r="B22" s="573" t="s">
        <v>640</v>
      </c>
      <c r="C22" s="574">
        <v>2832.61</v>
      </c>
      <c r="D22" s="575">
        <v>0.15</v>
      </c>
      <c r="E22" s="575">
        <v>0.2</v>
      </c>
      <c r="F22" s="576"/>
      <c r="G22" s="576"/>
      <c r="H22" s="576"/>
      <c r="I22" s="576">
        <v>0</v>
      </c>
      <c r="J22" s="576">
        <v>424.89</v>
      </c>
      <c r="K22" s="576">
        <v>566.52</v>
      </c>
      <c r="L22" s="576">
        <v>991.41</v>
      </c>
      <c r="M22" s="575">
        <v>20</v>
      </c>
      <c r="N22" s="576">
        <v>19828.2</v>
      </c>
      <c r="O22" s="575">
        <v>27</v>
      </c>
      <c r="P22" s="577">
        <v>26768.07</v>
      </c>
    </row>
    <row r="23" spans="1:16" ht="13.5" customHeight="1" x14ac:dyDescent="0.2">
      <c r="A23" s="572"/>
      <c r="B23" s="573"/>
      <c r="C23" s="574"/>
      <c r="D23" s="575"/>
      <c r="E23" s="575"/>
      <c r="F23" s="576"/>
      <c r="G23" s="576"/>
      <c r="H23" s="576"/>
      <c r="I23" s="576"/>
      <c r="J23" s="576"/>
      <c r="K23" s="576"/>
      <c r="L23" s="576"/>
      <c r="M23" s="576"/>
      <c r="N23" s="576"/>
      <c r="O23" s="576"/>
      <c r="P23" s="577"/>
    </row>
    <row r="24" spans="1:16" ht="19.5" customHeight="1" thickBot="1" x14ac:dyDescent="0.25">
      <c r="A24" s="1169" t="s">
        <v>406</v>
      </c>
      <c r="B24" s="1170"/>
      <c r="C24" s="578">
        <f>SUM(C11:C23)</f>
        <v>41980.480000000003</v>
      </c>
      <c r="D24" s="578"/>
      <c r="E24" s="578"/>
      <c r="F24" s="579"/>
      <c r="G24" s="579"/>
      <c r="H24" s="579"/>
      <c r="I24" s="579"/>
      <c r="J24" s="578">
        <f>SUM(J11:J23)</f>
        <v>6297.07</v>
      </c>
      <c r="K24" s="578">
        <f>SUM(K11:K23)</f>
        <v>8396.07</v>
      </c>
      <c r="L24" s="578">
        <f>SUM(L11:L23)</f>
        <v>14693.14</v>
      </c>
      <c r="M24" s="580"/>
      <c r="N24" s="578">
        <f>SUM(N11:N23)</f>
        <v>293862.8</v>
      </c>
      <c r="O24" s="580"/>
      <c r="P24" s="581">
        <f>SUM(P11:P23)</f>
        <v>396714.78</v>
      </c>
    </row>
    <row r="26" spans="1:16" s="270" customFormat="1" ht="40.5" customHeight="1" x14ac:dyDescent="0.2">
      <c r="L26" s="271"/>
    </row>
    <row r="27" spans="1:16" s="270" customFormat="1" x14ac:dyDescent="0.2">
      <c r="B27" s="272" t="str">
        <f>Terrap.!B28</f>
        <v>ROBSON DARCIO SOUSA</v>
      </c>
      <c r="K27" s="271"/>
    </row>
    <row r="28" spans="1:16" s="270" customFormat="1" x14ac:dyDescent="0.2">
      <c r="B28" s="273" t="str">
        <f>Terrap.!B29</f>
        <v>ENGº CIVIL CREA: 120.263.916-0</v>
      </c>
    </row>
    <row r="29" spans="1:16" s="270" customFormat="1" x14ac:dyDescent="0.2">
      <c r="B29" s="273"/>
      <c r="C29" s="271"/>
    </row>
    <row r="30" spans="1:16" s="270" customFormat="1" x14ac:dyDescent="0.2">
      <c r="C30" s="271"/>
    </row>
    <row r="31" spans="1:16" s="270" customFormat="1" x14ac:dyDescent="0.2">
      <c r="C31" s="271"/>
    </row>
  </sheetData>
  <mergeCells count="24">
    <mergeCell ref="N8:N9"/>
    <mergeCell ref="A1:B2"/>
    <mergeCell ref="C1:P1"/>
    <mergeCell ref="C2:P2"/>
    <mergeCell ref="B4:K4"/>
    <mergeCell ref="L4:P6"/>
    <mergeCell ref="F6:J6"/>
    <mergeCell ref="F5:K5"/>
    <mergeCell ref="A24:B24"/>
    <mergeCell ref="B3:P3"/>
    <mergeCell ref="A7:P7"/>
    <mergeCell ref="A8:A9"/>
    <mergeCell ref="B8:B9"/>
    <mergeCell ref="C8:C9"/>
    <mergeCell ref="D8:D9"/>
    <mergeCell ref="E8:E9"/>
    <mergeCell ref="F8:I8"/>
    <mergeCell ref="J8:J9"/>
    <mergeCell ref="K8:K9"/>
    <mergeCell ref="L8:L9"/>
    <mergeCell ref="M8:M9"/>
    <mergeCell ref="A10:P10"/>
    <mergeCell ref="O8:O9"/>
    <mergeCell ref="P8:P9"/>
  </mergeCells>
  <pageMargins left="0.511811024" right="0.511811024" top="0.78740157499999996" bottom="0.78740157499999996" header="0.31496062000000002" footer="0.31496062000000002"/>
  <pageSetup paperSize="9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view="pageBreakPreview" topLeftCell="E13" zoomScaleSheetLayoutView="100" workbookViewId="0">
      <selection activeCell="M18" sqref="M18"/>
    </sheetView>
  </sheetViews>
  <sheetFormatPr defaultRowHeight="12.75" x14ac:dyDescent="0.2"/>
  <cols>
    <col min="1" max="1" width="12.42578125" style="269" customWidth="1"/>
    <col min="2" max="2" width="51.28515625" style="269" bestFit="1" customWidth="1"/>
    <col min="3" max="3" width="11.7109375" style="269" customWidth="1"/>
    <col min="4" max="4" width="10.7109375" style="269" customWidth="1"/>
    <col min="5" max="5" width="11.28515625" style="269" bestFit="1" customWidth="1"/>
    <col min="6" max="7" width="9.140625" style="269" customWidth="1"/>
    <col min="8" max="8" width="12.28515625" style="269" customWidth="1"/>
    <col min="9" max="9" width="14.28515625" style="269" customWidth="1"/>
    <col min="10" max="10" width="16.5703125" style="269" customWidth="1"/>
    <col min="11" max="12" width="9.140625" style="269"/>
    <col min="13" max="13" width="11.7109375" style="269" bestFit="1" customWidth="1"/>
    <col min="14" max="16384" width="9.140625" style="269"/>
  </cols>
  <sheetData>
    <row r="1" spans="1:13" ht="51.75" customHeight="1" x14ac:dyDescent="0.2">
      <c r="A1" s="1188" t="s">
        <v>556</v>
      </c>
      <c r="B1" s="1189"/>
      <c r="C1" s="1192" t="s">
        <v>54</v>
      </c>
      <c r="D1" s="1056"/>
      <c r="E1" s="1056"/>
      <c r="F1" s="1056"/>
      <c r="G1" s="1056"/>
      <c r="H1" s="1056"/>
      <c r="I1" s="1056"/>
      <c r="J1" s="1057"/>
    </row>
    <row r="2" spans="1:13" ht="51.75" customHeight="1" x14ac:dyDescent="0.2">
      <c r="A2" s="1190"/>
      <c r="B2" s="1191"/>
      <c r="C2" s="1193" t="s">
        <v>630</v>
      </c>
      <c r="D2" s="1059"/>
      <c r="E2" s="1059"/>
      <c r="F2" s="1059"/>
      <c r="G2" s="1059"/>
      <c r="H2" s="1059"/>
      <c r="I2" s="1059"/>
      <c r="J2" s="1060"/>
    </row>
    <row r="3" spans="1:13" ht="15" customHeight="1" x14ac:dyDescent="0.2">
      <c r="A3" s="399" t="s">
        <v>55</v>
      </c>
      <c r="B3" s="1061" t="s">
        <v>663</v>
      </c>
      <c r="C3" s="1062"/>
      <c r="D3" s="1062"/>
      <c r="E3" s="1062"/>
      <c r="F3" s="1062"/>
      <c r="G3" s="1062"/>
      <c r="H3" s="1076"/>
      <c r="I3" s="1067" t="s">
        <v>703</v>
      </c>
      <c r="J3" s="1069"/>
    </row>
    <row r="4" spans="1:13" ht="15" customHeight="1" x14ac:dyDescent="0.2">
      <c r="A4" s="399" t="s">
        <v>56</v>
      </c>
      <c r="B4" s="1061" t="s">
        <v>629</v>
      </c>
      <c r="C4" s="1062"/>
      <c r="D4" s="1062"/>
      <c r="E4" s="1062"/>
      <c r="F4" s="1062"/>
      <c r="G4" s="1062"/>
      <c r="H4" s="1076"/>
      <c r="I4" s="1070"/>
      <c r="J4" s="1072"/>
    </row>
    <row r="5" spans="1:13" ht="16.5" customHeight="1" x14ac:dyDescent="0.2">
      <c r="A5" s="399" t="s">
        <v>57</v>
      </c>
      <c r="B5" s="1061" t="s">
        <v>630</v>
      </c>
      <c r="C5" s="1062"/>
      <c r="D5" s="1076"/>
      <c r="E5" s="401" t="s">
        <v>374</v>
      </c>
      <c r="F5" s="1064" t="s">
        <v>701</v>
      </c>
      <c r="G5" s="1065"/>
      <c r="H5" s="1066"/>
      <c r="I5" s="1070"/>
      <c r="J5" s="1072"/>
    </row>
    <row r="6" spans="1:13" ht="15.75" thickBot="1" x14ac:dyDescent="0.25">
      <c r="A6" s="402" t="s">
        <v>58</v>
      </c>
      <c r="B6" s="1077">
        <v>37813.870000000003</v>
      </c>
      <c r="C6" s="1078"/>
      <c r="D6" s="1079"/>
      <c r="E6" s="403" t="s">
        <v>59</v>
      </c>
      <c r="F6" s="1201">
        <v>0.20699999999999999</v>
      </c>
      <c r="G6" s="1202"/>
      <c r="H6" s="403" t="s">
        <v>60</v>
      </c>
      <c r="I6" s="1073"/>
      <c r="J6" s="1075"/>
    </row>
    <row r="7" spans="1:13" ht="21.75" customHeight="1" thickBot="1" x14ac:dyDescent="0.25">
      <c r="A7" s="1194" t="s">
        <v>232</v>
      </c>
      <c r="B7" s="1195"/>
      <c r="C7" s="1195"/>
      <c r="D7" s="1195"/>
      <c r="E7" s="1195"/>
      <c r="F7" s="1195"/>
      <c r="G7" s="1195"/>
      <c r="H7" s="1195"/>
      <c r="I7" s="1195"/>
      <c r="J7" s="1196"/>
    </row>
    <row r="8" spans="1:13" s="779" customFormat="1" ht="14.25" customHeight="1" x14ac:dyDescent="0.2">
      <c r="A8" s="1197" t="s">
        <v>61</v>
      </c>
      <c r="B8" s="1199" t="s">
        <v>62</v>
      </c>
      <c r="C8" s="1199" t="s">
        <v>380</v>
      </c>
      <c r="D8" s="1199" t="s">
        <v>333</v>
      </c>
      <c r="E8" s="1199" t="s">
        <v>63</v>
      </c>
      <c r="F8" s="1207" t="s">
        <v>64</v>
      </c>
      <c r="G8" s="1208"/>
      <c r="H8" s="1208"/>
      <c r="I8" s="1209"/>
      <c r="J8" s="1210" t="s">
        <v>65</v>
      </c>
    </row>
    <row r="9" spans="1:13" s="779" customFormat="1" ht="28.5" x14ac:dyDescent="0.2">
      <c r="A9" s="1198"/>
      <c r="B9" s="1200"/>
      <c r="C9" s="1200"/>
      <c r="D9" s="1200"/>
      <c r="E9" s="1200"/>
      <c r="F9" s="958" t="s">
        <v>66</v>
      </c>
      <c r="G9" s="958" t="s">
        <v>67</v>
      </c>
      <c r="H9" s="958" t="s">
        <v>68</v>
      </c>
      <c r="I9" s="958" t="s">
        <v>65</v>
      </c>
      <c r="J9" s="1211"/>
    </row>
    <row r="10" spans="1:13" ht="18" hidden="1" customHeight="1" x14ac:dyDescent="0.2">
      <c r="A10" s="1214" t="s">
        <v>385</v>
      </c>
      <c r="B10" s="1215"/>
      <c r="C10" s="1215"/>
      <c r="D10" s="1215"/>
      <c r="E10" s="1215"/>
      <c r="F10" s="1215"/>
      <c r="G10" s="1215"/>
      <c r="H10" s="1215"/>
      <c r="I10" s="1215"/>
      <c r="J10" s="1216"/>
    </row>
    <row r="11" spans="1:13" ht="18.75" customHeight="1" x14ac:dyDescent="0.2">
      <c r="A11" s="700">
        <v>1</v>
      </c>
      <c r="B11" s="951" t="s">
        <v>631</v>
      </c>
      <c r="C11" s="701">
        <v>600.13</v>
      </c>
      <c r="D11" s="702">
        <v>7.4</v>
      </c>
      <c r="E11" s="589">
        <v>4440.96</v>
      </c>
      <c r="F11" s="962" t="s">
        <v>349</v>
      </c>
      <c r="G11" s="383">
        <v>6</v>
      </c>
      <c r="H11" s="386">
        <v>39.75</v>
      </c>
      <c r="I11" s="701">
        <v>238.5</v>
      </c>
      <c r="J11" s="698">
        <v>4679.46</v>
      </c>
      <c r="K11" s="295"/>
      <c r="M11" s="295"/>
    </row>
    <row r="12" spans="1:13" ht="18.75" customHeight="1" x14ac:dyDescent="0.2">
      <c r="A12" s="700">
        <v>2</v>
      </c>
      <c r="B12" s="951" t="s">
        <v>632</v>
      </c>
      <c r="C12" s="701">
        <v>600.13</v>
      </c>
      <c r="D12" s="702">
        <v>7.4</v>
      </c>
      <c r="E12" s="589">
        <v>4440.96</v>
      </c>
      <c r="F12" s="962" t="s">
        <v>349</v>
      </c>
      <c r="G12" s="383">
        <v>6</v>
      </c>
      <c r="H12" s="386">
        <v>39.75</v>
      </c>
      <c r="I12" s="701">
        <v>238.5</v>
      </c>
      <c r="J12" s="698">
        <v>4679.46</v>
      </c>
      <c r="K12" s="295"/>
      <c r="M12" s="295"/>
    </row>
    <row r="13" spans="1:13" ht="18.75" customHeight="1" x14ac:dyDescent="0.2">
      <c r="A13" s="700">
        <v>3</v>
      </c>
      <c r="B13" s="951" t="s">
        <v>633</v>
      </c>
      <c r="C13" s="701">
        <v>799.13</v>
      </c>
      <c r="D13" s="702">
        <v>7.4</v>
      </c>
      <c r="E13" s="589">
        <v>5913.56</v>
      </c>
      <c r="F13" s="962" t="s">
        <v>349</v>
      </c>
      <c r="G13" s="383">
        <v>8</v>
      </c>
      <c r="H13" s="386">
        <v>39.75</v>
      </c>
      <c r="I13" s="701">
        <v>318</v>
      </c>
      <c r="J13" s="698">
        <v>6231.56</v>
      </c>
      <c r="K13" s="295"/>
      <c r="M13" s="295"/>
    </row>
    <row r="14" spans="1:13" ht="18.75" customHeight="1" x14ac:dyDescent="0.2">
      <c r="A14" s="700">
        <v>4</v>
      </c>
      <c r="B14" s="951" t="s">
        <v>634</v>
      </c>
      <c r="C14" s="701">
        <v>199</v>
      </c>
      <c r="D14" s="702">
        <v>7.4</v>
      </c>
      <c r="E14" s="589">
        <v>1472.6</v>
      </c>
      <c r="F14" s="962" t="s">
        <v>349</v>
      </c>
      <c r="G14" s="383">
        <v>1</v>
      </c>
      <c r="H14" s="386">
        <v>39.75</v>
      </c>
      <c r="I14" s="701">
        <v>39.75</v>
      </c>
      <c r="J14" s="698">
        <v>1512.35</v>
      </c>
      <c r="K14" s="295"/>
      <c r="M14" s="295"/>
    </row>
    <row r="15" spans="1:13" ht="18.75" customHeight="1" x14ac:dyDescent="0.2">
      <c r="A15" s="700">
        <v>5</v>
      </c>
      <c r="B15" s="951" t="s">
        <v>635</v>
      </c>
      <c r="C15" s="701">
        <v>199</v>
      </c>
      <c r="D15" s="702">
        <v>7.4</v>
      </c>
      <c r="E15" s="589">
        <v>1472.6</v>
      </c>
      <c r="F15" s="962" t="s">
        <v>349</v>
      </c>
      <c r="G15" s="383">
        <v>1</v>
      </c>
      <c r="H15" s="386">
        <v>39.75</v>
      </c>
      <c r="I15" s="701">
        <v>39.75</v>
      </c>
      <c r="J15" s="698">
        <v>1512.35</v>
      </c>
      <c r="K15" s="295"/>
      <c r="M15" s="295"/>
    </row>
    <row r="16" spans="1:13" ht="18.75" customHeight="1" x14ac:dyDescent="0.2">
      <c r="A16" s="700">
        <v>6</v>
      </c>
      <c r="B16" s="951" t="s">
        <v>636</v>
      </c>
      <c r="C16" s="701">
        <v>202.26</v>
      </c>
      <c r="D16" s="702">
        <v>7.4</v>
      </c>
      <c r="E16" s="589">
        <v>1496.72</v>
      </c>
      <c r="F16" s="962" t="s">
        <v>349</v>
      </c>
      <c r="G16" s="383">
        <v>3</v>
      </c>
      <c r="H16" s="386">
        <v>39.75</v>
      </c>
      <c r="I16" s="701">
        <v>119.25</v>
      </c>
      <c r="J16" s="698">
        <v>1615.97</v>
      </c>
      <c r="K16" s="295"/>
      <c r="M16" s="295"/>
    </row>
    <row r="17" spans="1:13" ht="18.75" customHeight="1" x14ac:dyDescent="0.2">
      <c r="A17" s="700">
        <v>7</v>
      </c>
      <c r="B17" s="951" t="s">
        <v>637</v>
      </c>
      <c r="C17" s="701">
        <v>264.13</v>
      </c>
      <c r="D17" s="702">
        <v>7.4</v>
      </c>
      <c r="E17" s="589">
        <v>1954.56</v>
      </c>
      <c r="F17" s="962">
        <v>0</v>
      </c>
      <c r="G17" s="383">
        <v>0</v>
      </c>
      <c r="H17" s="386"/>
      <c r="I17" s="701">
        <v>0</v>
      </c>
      <c r="J17" s="698">
        <v>1954.56</v>
      </c>
      <c r="K17" s="295"/>
      <c r="M17" s="295"/>
    </row>
    <row r="18" spans="1:13" ht="18.75" customHeight="1" x14ac:dyDescent="0.2">
      <c r="A18" s="700">
        <v>8</v>
      </c>
      <c r="B18" s="951" t="s">
        <v>638</v>
      </c>
      <c r="C18" s="701">
        <v>264.13</v>
      </c>
      <c r="D18" s="702">
        <v>7.4</v>
      </c>
      <c r="E18" s="589">
        <v>1954.56</v>
      </c>
      <c r="F18" s="962">
        <v>0</v>
      </c>
      <c r="G18" s="383">
        <v>0</v>
      </c>
      <c r="H18" s="386"/>
      <c r="I18" s="701">
        <v>0</v>
      </c>
      <c r="J18" s="698">
        <v>1954.56</v>
      </c>
      <c r="K18" s="295"/>
      <c r="M18" s="295"/>
    </row>
    <row r="19" spans="1:13" ht="18.75" customHeight="1" x14ac:dyDescent="0.2">
      <c r="A19" s="700">
        <v>9</v>
      </c>
      <c r="B19" s="951" t="s">
        <v>639</v>
      </c>
      <c r="C19" s="701">
        <v>264.13</v>
      </c>
      <c r="D19" s="702">
        <v>7.4</v>
      </c>
      <c r="E19" s="589">
        <v>1954.56</v>
      </c>
      <c r="F19" s="962">
        <v>0</v>
      </c>
      <c r="G19" s="383">
        <v>0</v>
      </c>
      <c r="H19" s="386"/>
      <c r="I19" s="701">
        <v>0</v>
      </c>
      <c r="J19" s="698">
        <v>1954.56</v>
      </c>
      <c r="K19" s="295"/>
      <c r="M19" s="295"/>
    </row>
    <row r="20" spans="1:13" ht="18.75" customHeight="1" x14ac:dyDescent="0.2">
      <c r="A20" s="700">
        <v>10</v>
      </c>
      <c r="B20" s="951" t="s">
        <v>642</v>
      </c>
      <c r="C20" s="701">
        <v>597</v>
      </c>
      <c r="D20" s="702">
        <v>7.4</v>
      </c>
      <c r="E20" s="589">
        <v>4417.8</v>
      </c>
      <c r="F20" s="962" t="s">
        <v>349</v>
      </c>
      <c r="G20" s="383">
        <v>4</v>
      </c>
      <c r="H20" s="386">
        <v>39.75</v>
      </c>
      <c r="I20" s="701">
        <v>159</v>
      </c>
      <c r="J20" s="698">
        <v>4576.8</v>
      </c>
      <c r="K20" s="295"/>
      <c r="M20" s="295"/>
    </row>
    <row r="21" spans="1:13" ht="18.75" customHeight="1" x14ac:dyDescent="0.2">
      <c r="A21" s="700">
        <v>11</v>
      </c>
      <c r="B21" s="951" t="s">
        <v>643</v>
      </c>
      <c r="C21" s="701">
        <v>597</v>
      </c>
      <c r="D21" s="702">
        <v>7.4</v>
      </c>
      <c r="E21" s="589">
        <v>4417.8</v>
      </c>
      <c r="F21" s="962" t="s">
        <v>349</v>
      </c>
      <c r="G21" s="383">
        <v>4</v>
      </c>
      <c r="H21" s="386">
        <v>39.75</v>
      </c>
      <c r="I21" s="701">
        <v>159</v>
      </c>
      <c r="J21" s="698">
        <v>4576.8</v>
      </c>
      <c r="K21" s="295"/>
      <c r="M21" s="295"/>
    </row>
    <row r="22" spans="1:13" ht="18.75" customHeight="1" x14ac:dyDescent="0.2">
      <c r="A22" s="1217">
        <v>12</v>
      </c>
      <c r="B22" s="1219" t="s">
        <v>640</v>
      </c>
      <c r="C22" s="1221">
        <v>296.67</v>
      </c>
      <c r="D22" s="1221">
        <v>7.4</v>
      </c>
      <c r="E22" s="1223">
        <v>2195.36</v>
      </c>
      <c r="F22" s="962" t="s">
        <v>349</v>
      </c>
      <c r="G22" s="383">
        <v>4</v>
      </c>
      <c r="H22" s="386">
        <v>39.75</v>
      </c>
      <c r="I22" s="701">
        <v>159</v>
      </c>
      <c r="J22" s="1225">
        <v>2565.44</v>
      </c>
      <c r="K22" s="295"/>
      <c r="M22" s="295"/>
    </row>
    <row r="23" spans="1:13" ht="18" customHeight="1" x14ac:dyDescent="0.2">
      <c r="A23" s="1218"/>
      <c r="B23" s="1220"/>
      <c r="C23" s="1222"/>
      <c r="D23" s="1222"/>
      <c r="E23" s="1224"/>
      <c r="F23" s="962" t="s">
        <v>641</v>
      </c>
      <c r="G23" s="383">
        <v>1</v>
      </c>
      <c r="H23" s="386">
        <v>211.08</v>
      </c>
      <c r="I23" s="701">
        <v>211.08</v>
      </c>
      <c r="J23" s="1226"/>
      <c r="K23" s="295"/>
      <c r="M23" s="295"/>
    </row>
    <row r="24" spans="1:13" ht="18" customHeight="1" x14ac:dyDescent="0.2">
      <c r="A24" s="700"/>
      <c r="B24" s="933"/>
      <c r="C24" s="701"/>
      <c r="D24" s="702"/>
      <c r="E24" s="703"/>
      <c r="F24" s="936"/>
      <c r="G24" s="383"/>
      <c r="H24" s="386"/>
      <c r="I24" s="701"/>
      <c r="J24" s="698"/>
      <c r="K24" s="295"/>
      <c r="M24" s="295"/>
    </row>
    <row r="25" spans="1:13" ht="18.75" customHeight="1" x14ac:dyDescent="0.2">
      <c r="A25" s="1212" t="s">
        <v>69</v>
      </c>
      <c r="B25" s="1213"/>
      <c r="C25" s="385">
        <f>SUM(C11:C23)</f>
        <v>4882.71</v>
      </c>
      <c r="D25" s="383"/>
      <c r="E25" s="385">
        <f>SUM(E11:E23)</f>
        <v>36132.04</v>
      </c>
      <c r="F25" s="474"/>
      <c r="G25" s="383"/>
      <c r="H25" s="474"/>
      <c r="I25" s="385">
        <f>SUM(I11:I23)</f>
        <v>1681.83</v>
      </c>
      <c r="J25" s="390">
        <f>SUM(J11:J23)</f>
        <v>37813.870000000003</v>
      </c>
      <c r="K25" s="295"/>
      <c r="M25" s="295"/>
    </row>
    <row r="26" spans="1:13" ht="18.75" customHeight="1" thickBot="1" x14ac:dyDescent="0.25">
      <c r="A26" s="1203" t="s">
        <v>70</v>
      </c>
      <c r="B26" s="1204"/>
      <c r="C26" s="1205">
        <f>I25+E25</f>
        <v>37813.870000000003</v>
      </c>
      <c r="D26" s="1205"/>
      <c r="E26" s="1205"/>
      <c r="F26" s="1205"/>
      <c r="G26" s="1205"/>
      <c r="H26" s="1205"/>
      <c r="I26" s="1205"/>
      <c r="J26" s="1206"/>
      <c r="K26" s="295"/>
      <c r="M26" s="295"/>
    </row>
    <row r="27" spans="1:13" x14ac:dyDescent="0.2">
      <c r="A27" s="413"/>
      <c r="B27" s="413"/>
      <c r="C27" s="413"/>
      <c r="D27" s="413"/>
      <c r="E27" s="413"/>
      <c r="F27" s="413"/>
      <c r="G27" s="413"/>
      <c r="H27" s="413"/>
      <c r="I27" s="413"/>
      <c r="J27" s="413"/>
      <c r="M27" s="295"/>
    </row>
    <row r="28" spans="1:13" ht="51.75" customHeight="1" x14ac:dyDescent="0.2">
      <c r="A28" s="413"/>
      <c r="B28" s="414"/>
      <c r="C28" s="413"/>
      <c r="D28" s="413"/>
      <c r="E28" s="413"/>
      <c r="F28" s="413"/>
      <c r="G28" s="413"/>
      <c r="H28" s="415"/>
      <c r="I28" s="413"/>
      <c r="J28" s="413"/>
      <c r="M28" s="295"/>
    </row>
    <row r="29" spans="1:13" ht="15.75" x14ac:dyDescent="0.2">
      <c r="A29" s="413"/>
      <c r="B29" s="416" t="str">
        <f>Terrap.!B28</f>
        <v>ROBSON DARCIO SOUSA</v>
      </c>
      <c r="C29" s="413"/>
      <c r="D29" s="413"/>
      <c r="E29" s="417"/>
      <c r="F29" s="413"/>
      <c r="G29" s="417"/>
      <c r="H29" s="413"/>
      <c r="I29" s="413"/>
      <c r="J29" s="413"/>
    </row>
    <row r="30" spans="1:13" x14ac:dyDescent="0.2">
      <c r="A30" s="413"/>
      <c r="B30" s="418" t="str">
        <f>Terrap.!B29</f>
        <v>ENGº CIVIL CREA: 120.263.916-0</v>
      </c>
      <c r="C30" s="413"/>
      <c r="D30" s="413"/>
      <c r="E30" s="413"/>
      <c r="F30" s="413"/>
      <c r="G30" s="413"/>
      <c r="H30" s="413"/>
      <c r="I30" s="413"/>
      <c r="J30" s="413"/>
    </row>
    <row r="31" spans="1:13" x14ac:dyDescent="0.2">
      <c r="A31" s="413"/>
      <c r="B31" s="413"/>
      <c r="C31" s="413"/>
      <c r="D31" s="413"/>
      <c r="E31" s="413"/>
      <c r="F31" s="413"/>
      <c r="G31" s="413"/>
      <c r="H31" s="413"/>
      <c r="I31" s="413"/>
      <c r="J31" s="413"/>
    </row>
  </sheetData>
  <mergeCells count="28">
    <mergeCell ref="A26:B26"/>
    <mergeCell ref="C26:J26"/>
    <mergeCell ref="F8:I8"/>
    <mergeCell ref="J8:J9"/>
    <mergeCell ref="A25:B25"/>
    <mergeCell ref="A10:J10"/>
    <mergeCell ref="A22:A23"/>
    <mergeCell ref="B22:B23"/>
    <mergeCell ref="C22:C23"/>
    <mergeCell ref="D22:D23"/>
    <mergeCell ref="E22:E23"/>
    <mergeCell ref="J22:J23"/>
    <mergeCell ref="A1:B2"/>
    <mergeCell ref="C1:J1"/>
    <mergeCell ref="C2:J2"/>
    <mergeCell ref="A7:J7"/>
    <mergeCell ref="A8:A9"/>
    <mergeCell ref="B8:B9"/>
    <mergeCell ref="C8:C9"/>
    <mergeCell ref="D8:D9"/>
    <mergeCell ref="E8:E9"/>
    <mergeCell ref="B6:D6"/>
    <mergeCell ref="F6:G6"/>
    <mergeCell ref="F5:H5"/>
    <mergeCell ref="B5:D5"/>
    <mergeCell ref="B4:H4"/>
    <mergeCell ref="I3:J6"/>
    <mergeCell ref="B3:H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0"/>
  <sheetViews>
    <sheetView view="pageBreakPreview" zoomScaleSheetLayoutView="100" workbookViewId="0">
      <selection activeCell="D13" sqref="D13"/>
    </sheetView>
  </sheetViews>
  <sheetFormatPr defaultRowHeight="12.75" x14ac:dyDescent="0.2"/>
  <cols>
    <col min="1" max="1" width="12.42578125" style="269" customWidth="1"/>
    <col min="2" max="2" width="51.28515625" style="269" bestFit="1" customWidth="1"/>
    <col min="3" max="6" width="15" style="269" customWidth="1"/>
    <col min="7" max="7" width="25.140625" style="269" customWidth="1"/>
    <col min="8" max="8" width="26.5703125" style="269" customWidth="1"/>
    <col min="9" max="10" width="9.140625" style="269"/>
    <col min="11" max="11" width="11.7109375" style="269" bestFit="1" customWidth="1"/>
    <col min="12" max="16384" width="9.140625" style="269"/>
  </cols>
  <sheetData>
    <row r="1" spans="1:11" ht="51.75" customHeight="1" x14ac:dyDescent="0.2">
      <c r="A1" s="1183" t="str">
        <f>Terrap.!A1</f>
        <v>PRISMA                                                                                                                     ENGENHARIA</v>
      </c>
      <c r="B1" s="1184"/>
      <c r="C1" s="982" t="str">
        <f>Terrap.!C1</f>
        <v>ESTADO DE MATO GROSSO</v>
      </c>
      <c r="D1" s="982"/>
      <c r="E1" s="982"/>
      <c r="F1" s="982"/>
      <c r="G1" s="982"/>
      <c r="H1" s="983"/>
    </row>
    <row r="2" spans="1:11" ht="51.75" customHeight="1" x14ac:dyDescent="0.2">
      <c r="A2" s="1185"/>
      <c r="B2" s="1186"/>
      <c r="C2" s="985" t="str">
        <f>Terrap.!C2</f>
        <v>PREFEITURA MUNICIPAL DE CLAUDIA</v>
      </c>
      <c r="D2" s="985"/>
      <c r="E2" s="985"/>
      <c r="F2" s="985"/>
      <c r="G2" s="985"/>
      <c r="H2" s="986"/>
    </row>
    <row r="3" spans="1:11" ht="15" x14ac:dyDescent="0.2">
      <c r="A3" s="399" t="s">
        <v>55</v>
      </c>
      <c r="B3" s="987" t="str">
        <f>Terrap.!B3</f>
        <v>PAVIMENTAÇÃO ASFALTICA E DRENAGEM DE AGUAS PLUVIAIS</v>
      </c>
      <c r="C3" s="987"/>
      <c r="D3" s="987"/>
      <c r="E3" s="987"/>
      <c r="F3" s="987"/>
      <c r="G3" s="987"/>
      <c r="H3" s="1227" t="str">
        <f>Terrap.!I3</f>
        <v>SINAPI - NOVEMBRO / 2018                                                                                                                               ANP - NOVEMBRO / 2018                                                                               (não desonerado)</v>
      </c>
    </row>
    <row r="4" spans="1:11" ht="15" customHeight="1" x14ac:dyDescent="0.2">
      <c r="A4" s="399" t="s">
        <v>56</v>
      </c>
      <c r="B4" s="987" t="str">
        <f>Terrap.!B4</f>
        <v>DIVERSAS RUAS - PERIMETRO URBANO</v>
      </c>
      <c r="C4" s="987"/>
      <c r="D4" s="987"/>
      <c r="E4" s="987"/>
      <c r="F4" s="987"/>
      <c r="G4" s="987"/>
      <c r="H4" s="1228"/>
    </row>
    <row r="5" spans="1:11" ht="16.5" customHeight="1" x14ac:dyDescent="0.2">
      <c r="A5" s="399" t="s">
        <v>57</v>
      </c>
      <c r="B5" s="987" t="str">
        <f>Terrap.!B5</f>
        <v>PREFEITURA MUNICIPAL DE CLAUDIA</v>
      </c>
      <c r="C5" s="987"/>
      <c r="D5" s="987"/>
      <c r="E5" s="401" t="s">
        <v>374</v>
      </c>
      <c r="F5" s="989" t="str">
        <f>Terrap.!F5</f>
        <v>JANEIRO / 2019</v>
      </c>
      <c r="G5" s="989"/>
      <c r="H5" s="1228"/>
    </row>
    <row r="6" spans="1:11" ht="15.75" thickBot="1" x14ac:dyDescent="0.25">
      <c r="A6" s="402" t="s">
        <v>58</v>
      </c>
      <c r="B6" s="990">
        <f>Pavim.!C26</f>
        <v>37813.870000000003</v>
      </c>
      <c r="C6" s="990"/>
      <c r="D6" s="990"/>
      <c r="E6" s="403" t="s">
        <v>59</v>
      </c>
      <c r="F6" s="800">
        <f>Terrap.!F6</f>
        <v>0.20699999999999999</v>
      </c>
      <c r="G6" s="403" t="s">
        <v>60</v>
      </c>
      <c r="H6" s="1229"/>
    </row>
    <row r="7" spans="1:11" ht="21.75" customHeight="1" thickBot="1" x14ac:dyDescent="0.25">
      <c r="A7" s="1230" t="s">
        <v>505</v>
      </c>
      <c r="B7" s="1231"/>
      <c r="C7" s="1231"/>
      <c r="D7" s="1231"/>
      <c r="E7" s="1231"/>
      <c r="F7" s="1231"/>
      <c r="G7" s="1231"/>
      <c r="H7" s="1232"/>
    </row>
    <row r="8" spans="1:11" s="779" customFormat="1" ht="14.25" customHeight="1" x14ac:dyDescent="0.2">
      <c r="A8" s="1233" t="s">
        <v>61</v>
      </c>
      <c r="B8" s="1235" t="s">
        <v>62</v>
      </c>
      <c r="C8" s="1207" t="s">
        <v>498</v>
      </c>
      <c r="D8" s="1209"/>
      <c r="E8" s="1207" t="s">
        <v>501</v>
      </c>
      <c r="F8" s="1209"/>
      <c r="G8" s="1207" t="s">
        <v>502</v>
      </c>
      <c r="H8" s="1237"/>
    </row>
    <row r="9" spans="1:11" s="779" customFormat="1" ht="14.25" x14ac:dyDescent="0.2">
      <c r="A9" s="1234"/>
      <c r="B9" s="1236"/>
      <c r="C9" s="886" t="s">
        <v>499</v>
      </c>
      <c r="D9" s="886" t="s">
        <v>500</v>
      </c>
      <c r="E9" s="886" t="s">
        <v>499</v>
      </c>
      <c r="F9" s="886" t="s">
        <v>500</v>
      </c>
      <c r="G9" s="886" t="s">
        <v>503</v>
      </c>
      <c r="H9" s="887" t="s">
        <v>504</v>
      </c>
    </row>
    <row r="10" spans="1:11" ht="18" customHeight="1" x14ac:dyDescent="0.2">
      <c r="A10" s="1214" t="str">
        <f>Terrap.!A10</f>
        <v>TRECHO 01</v>
      </c>
      <c r="B10" s="1215"/>
      <c r="C10" s="1215"/>
      <c r="D10" s="1215"/>
      <c r="E10" s="1215"/>
      <c r="F10" s="1215"/>
      <c r="G10" s="1215"/>
      <c r="H10" s="1216"/>
    </row>
    <row r="11" spans="1:11" ht="27.75" customHeight="1" x14ac:dyDescent="0.2">
      <c r="A11" s="700">
        <f>Terrap.!A11</f>
        <v>1</v>
      </c>
      <c r="B11" s="885" t="str">
        <f>Terrap.!B11</f>
        <v>RUA RODRIGUES ALVES</v>
      </c>
      <c r="C11" s="702"/>
      <c r="D11" s="702"/>
      <c r="E11" s="703"/>
      <c r="F11" s="889"/>
      <c r="G11" s="802"/>
      <c r="H11" s="803"/>
      <c r="I11" s="295"/>
      <c r="K11" s="295"/>
    </row>
    <row r="12" spans="1:11" ht="27.75" customHeight="1" x14ac:dyDescent="0.2">
      <c r="A12" s="700">
        <f>Terrap.!A12</f>
        <v>2</v>
      </c>
      <c r="B12" s="885" t="str">
        <f>Terrap.!B12</f>
        <v>RUA AFONSO PENA</v>
      </c>
      <c r="C12" s="702"/>
      <c r="D12" s="702"/>
      <c r="E12" s="703"/>
      <c r="F12" s="889"/>
      <c r="G12" s="802"/>
      <c r="H12" s="803"/>
      <c r="I12" s="295"/>
      <c r="K12" s="295"/>
    </row>
    <row r="13" spans="1:11" ht="27.75" customHeight="1" x14ac:dyDescent="0.2">
      <c r="A13" s="700">
        <f>Terrap.!A13</f>
        <v>3</v>
      </c>
      <c r="B13" s="885" t="str">
        <f>Terrap.!B13</f>
        <v>RUA FLORIANO PEIXOTO</v>
      </c>
      <c r="C13" s="702"/>
      <c r="D13" s="702"/>
      <c r="E13" s="703"/>
      <c r="F13" s="889"/>
      <c r="G13" s="802"/>
      <c r="H13" s="803"/>
      <c r="I13" s="295"/>
      <c r="K13" s="295"/>
    </row>
    <row r="14" spans="1:11" ht="27.75" customHeight="1" x14ac:dyDescent="0.2">
      <c r="A14" s="700">
        <f>Terrap.!A23</f>
        <v>0</v>
      </c>
      <c r="B14" s="885">
        <f>Terrap.!B23</f>
        <v>0</v>
      </c>
      <c r="C14" s="702"/>
      <c r="D14" s="702"/>
      <c r="E14" s="703"/>
      <c r="F14" s="889"/>
      <c r="G14" s="802"/>
      <c r="H14" s="803"/>
      <c r="I14" s="295"/>
      <c r="K14" s="295"/>
    </row>
    <row r="15" spans="1:11" ht="18.75" customHeight="1" thickBot="1" x14ac:dyDescent="0.25">
      <c r="A15" s="715"/>
      <c r="B15" s="804"/>
      <c r="C15" s="805"/>
      <c r="D15" s="806"/>
      <c r="E15" s="807"/>
      <c r="F15" s="888"/>
      <c r="G15" s="808"/>
      <c r="H15" s="809"/>
      <c r="I15" s="295"/>
      <c r="K15" s="295"/>
    </row>
    <row r="16" spans="1:11" x14ac:dyDescent="0.2">
      <c r="A16" s="413"/>
      <c r="B16" s="413"/>
      <c r="C16" s="413"/>
      <c r="D16" s="413"/>
      <c r="E16" s="413"/>
      <c r="F16" s="413"/>
      <c r="G16" s="413"/>
      <c r="H16" s="413"/>
      <c r="K16" s="295"/>
    </row>
    <row r="17" spans="1:11" ht="51.75" customHeight="1" x14ac:dyDescent="0.2">
      <c r="A17" s="413"/>
      <c r="B17" s="414"/>
      <c r="C17" s="413"/>
      <c r="D17" s="413"/>
      <c r="E17" s="413"/>
      <c r="F17" s="413"/>
      <c r="G17" s="415"/>
      <c r="H17" s="413"/>
      <c r="K17" s="295"/>
    </row>
    <row r="18" spans="1:11" ht="15.75" x14ac:dyDescent="0.2">
      <c r="A18" s="413"/>
      <c r="B18" s="416" t="str">
        <f>Terrap.!B28</f>
        <v>ROBSON DARCIO SOUSA</v>
      </c>
      <c r="C18" s="413"/>
      <c r="D18" s="413"/>
      <c r="E18" s="417"/>
      <c r="F18" s="413"/>
      <c r="G18" s="413"/>
      <c r="H18" s="413"/>
    </row>
    <row r="19" spans="1:11" x14ac:dyDescent="0.2">
      <c r="A19" s="413"/>
      <c r="B19" s="418" t="str">
        <f>Terrap.!B29</f>
        <v>ENGº CIVIL CREA: 120.263.916-0</v>
      </c>
      <c r="C19" s="413"/>
      <c r="D19" s="413"/>
      <c r="E19" s="413"/>
      <c r="F19" s="413"/>
      <c r="G19" s="413"/>
      <c r="H19" s="413"/>
    </row>
    <row r="20" spans="1:11" x14ac:dyDescent="0.2">
      <c r="A20" s="413"/>
      <c r="B20" s="413"/>
      <c r="C20" s="413"/>
      <c r="D20" s="413"/>
      <c r="E20" s="413"/>
      <c r="F20" s="413"/>
      <c r="G20" s="413"/>
      <c r="H20" s="413"/>
    </row>
  </sheetData>
  <mergeCells count="16">
    <mergeCell ref="A10:H10"/>
    <mergeCell ref="A7:H7"/>
    <mergeCell ref="A8:A9"/>
    <mergeCell ref="B8:B9"/>
    <mergeCell ref="C8:D8"/>
    <mergeCell ref="E8:F8"/>
    <mergeCell ref="G8:H8"/>
    <mergeCell ref="A1:B2"/>
    <mergeCell ref="C1:H1"/>
    <mergeCell ref="C2:H2"/>
    <mergeCell ref="B3:G3"/>
    <mergeCell ref="H3:H6"/>
    <mergeCell ref="B4:G4"/>
    <mergeCell ref="B5:D5"/>
    <mergeCell ref="F5:G5"/>
    <mergeCell ref="B6:D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9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4"/>
  <sheetViews>
    <sheetView view="pageBreakPreview" topLeftCell="A24" zoomScale="115" zoomScaleSheetLayoutView="115" workbookViewId="0">
      <selection activeCell="C35" sqref="C35:G35"/>
    </sheetView>
  </sheetViews>
  <sheetFormatPr defaultRowHeight="12.75" x14ac:dyDescent="0.2"/>
  <cols>
    <col min="1" max="1" width="12.28515625" style="269" customWidth="1"/>
    <col min="2" max="2" width="49.140625" style="269" customWidth="1"/>
    <col min="3" max="3" width="12.5703125" style="269" bestFit="1" customWidth="1"/>
    <col min="4" max="5" width="9.28515625" style="269" bestFit="1" customWidth="1"/>
    <col min="6" max="6" width="9.28515625" style="269" customWidth="1"/>
    <col min="7" max="7" width="9.7109375" style="269" bestFit="1" customWidth="1"/>
    <col min="8" max="8" width="9.7109375" style="269" customWidth="1"/>
    <col min="9" max="9" width="9.28515625" style="269" bestFit="1" customWidth="1"/>
    <col min="10" max="11" width="11" style="269" customWidth="1"/>
    <col min="12" max="12" width="9.7109375" style="269" customWidth="1"/>
    <col min="13" max="13" width="15.140625" style="269" customWidth="1"/>
    <col min="14" max="16384" width="9.140625" style="269"/>
  </cols>
  <sheetData>
    <row r="1" spans="1:13" ht="48" customHeight="1" x14ac:dyDescent="0.2">
      <c r="A1" s="1183" t="s">
        <v>556</v>
      </c>
      <c r="B1" s="1184"/>
      <c r="C1" s="982" t="s">
        <v>54</v>
      </c>
      <c r="D1" s="982"/>
      <c r="E1" s="982"/>
      <c r="F1" s="982"/>
      <c r="G1" s="982"/>
      <c r="H1" s="982"/>
      <c r="I1" s="982"/>
      <c r="J1" s="982"/>
      <c r="K1" s="982"/>
      <c r="L1" s="982"/>
      <c r="M1" s="983"/>
    </row>
    <row r="2" spans="1:13" ht="48" customHeight="1" x14ac:dyDescent="0.2">
      <c r="A2" s="1185"/>
      <c r="B2" s="1186"/>
      <c r="C2" s="985" t="s">
        <v>630</v>
      </c>
      <c r="D2" s="985"/>
      <c r="E2" s="985"/>
      <c r="F2" s="985"/>
      <c r="G2" s="985"/>
      <c r="H2" s="985"/>
      <c r="I2" s="985"/>
      <c r="J2" s="985"/>
      <c r="K2" s="985"/>
      <c r="L2" s="985"/>
      <c r="M2" s="986"/>
    </row>
    <row r="3" spans="1:13" x14ac:dyDescent="0.2">
      <c r="A3" s="421" t="s">
        <v>55</v>
      </c>
      <c r="B3" s="1247" t="s">
        <v>663</v>
      </c>
      <c r="C3" s="1247"/>
      <c r="D3" s="1247"/>
      <c r="E3" s="1247"/>
      <c r="F3" s="1247"/>
      <c r="G3" s="1247"/>
      <c r="H3" s="1247"/>
      <c r="I3" s="1247"/>
      <c r="J3" s="1247"/>
      <c r="K3" s="1247"/>
      <c r="L3" s="1247"/>
      <c r="M3" s="1248"/>
    </row>
    <row r="4" spans="1:13" ht="12.75" customHeight="1" x14ac:dyDescent="0.2">
      <c r="A4" s="421" t="s">
        <v>56</v>
      </c>
      <c r="B4" s="1247" t="s">
        <v>629</v>
      </c>
      <c r="C4" s="1247"/>
      <c r="D4" s="1247"/>
      <c r="E4" s="1247"/>
      <c r="F4" s="1247"/>
      <c r="G4" s="1247"/>
      <c r="H4" s="1247"/>
      <c r="I4" s="1247"/>
      <c r="J4" s="1247"/>
      <c r="K4" s="1249" t="s">
        <v>703</v>
      </c>
      <c r="L4" s="1250"/>
      <c r="M4" s="1251"/>
    </row>
    <row r="5" spans="1:13" ht="16.5" customHeight="1" x14ac:dyDescent="0.2">
      <c r="A5" s="421" t="s">
        <v>57</v>
      </c>
      <c r="B5" s="1247" t="s">
        <v>630</v>
      </c>
      <c r="C5" s="1247"/>
      <c r="D5" s="1247"/>
      <c r="E5" s="422" t="s">
        <v>374</v>
      </c>
      <c r="F5" s="1261" t="s">
        <v>701</v>
      </c>
      <c r="G5" s="1262"/>
      <c r="H5" s="1262"/>
      <c r="I5" s="1262"/>
      <c r="J5" s="1263"/>
      <c r="K5" s="1252"/>
      <c r="L5" s="1253"/>
      <c r="M5" s="1254"/>
    </row>
    <row r="6" spans="1:13" ht="22.5" customHeight="1" thickBot="1" x14ac:dyDescent="0.25">
      <c r="A6" s="423" t="s">
        <v>58</v>
      </c>
      <c r="B6" s="1246">
        <v>37813.870000000003</v>
      </c>
      <c r="C6" s="1246"/>
      <c r="D6" s="1246"/>
      <c r="E6" s="424" t="s">
        <v>59</v>
      </c>
      <c r="F6" s="1258">
        <v>0.20699999999999999</v>
      </c>
      <c r="G6" s="1259"/>
      <c r="H6" s="1259"/>
      <c r="I6" s="1260"/>
      <c r="J6" s="424" t="s">
        <v>60</v>
      </c>
      <c r="K6" s="1255"/>
      <c r="L6" s="1256"/>
      <c r="M6" s="1257"/>
    </row>
    <row r="7" spans="1:13" ht="20.25" customHeight="1" thickBot="1" x14ac:dyDescent="0.25">
      <c r="A7" s="1243" t="s">
        <v>652</v>
      </c>
      <c r="B7" s="1244"/>
      <c r="C7" s="1244"/>
      <c r="D7" s="1244"/>
      <c r="E7" s="1244"/>
      <c r="F7" s="1244"/>
      <c r="G7" s="1244"/>
      <c r="H7" s="1244"/>
      <c r="I7" s="1244"/>
      <c r="J7" s="1244"/>
      <c r="K7" s="1244"/>
      <c r="L7" s="1244"/>
      <c r="M7" s="1245"/>
    </row>
    <row r="8" spans="1:13" ht="26.25" customHeight="1" x14ac:dyDescent="0.2">
      <c r="A8" s="1174" t="s">
        <v>61</v>
      </c>
      <c r="B8" s="1176" t="s">
        <v>62</v>
      </c>
      <c r="C8" s="1178" t="s">
        <v>65</v>
      </c>
      <c r="D8" s="1178" t="s">
        <v>626</v>
      </c>
      <c r="E8" s="1178" t="s">
        <v>338</v>
      </c>
      <c r="F8" s="1178" t="s">
        <v>654</v>
      </c>
      <c r="G8" s="1178" t="s">
        <v>627</v>
      </c>
      <c r="H8" s="1178" t="s">
        <v>339</v>
      </c>
      <c r="I8" s="1178" t="s">
        <v>339</v>
      </c>
      <c r="J8" s="1178" t="s">
        <v>306</v>
      </c>
      <c r="K8" s="1178" t="s">
        <v>588</v>
      </c>
      <c r="L8" s="1178" t="s">
        <v>307</v>
      </c>
      <c r="M8" s="1241" t="s">
        <v>589</v>
      </c>
    </row>
    <row r="9" spans="1:13" x14ac:dyDescent="0.2">
      <c r="A9" s="1175"/>
      <c r="B9" s="1177"/>
      <c r="C9" s="1179"/>
      <c r="D9" s="1179"/>
      <c r="E9" s="1179"/>
      <c r="F9" s="1179"/>
      <c r="G9" s="1179"/>
      <c r="H9" s="1179"/>
      <c r="I9" s="1179"/>
      <c r="J9" s="1179"/>
      <c r="K9" s="1179"/>
      <c r="L9" s="1179"/>
      <c r="M9" s="1242"/>
    </row>
    <row r="10" spans="1:13" x14ac:dyDescent="0.2">
      <c r="A10" s="572">
        <v>1</v>
      </c>
      <c r="B10" s="573" t="s">
        <v>631</v>
      </c>
      <c r="C10" s="574">
        <v>4679.46</v>
      </c>
      <c r="D10" s="575">
        <v>16.100000000000001</v>
      </c>
      <c r="E10" s="575">
        <v>7.7</v>
      </c>
      <c r="F10" s="575">
        <v>7.7</v>
      </c>
      <c r="G10" s="576">
        <v>75.34</v>
      </c>
      <c r="H10" s="576">
        <v>36.03</v>
      </c>
      <c r="I10" s="576">
        <v>36.03</v>
      </c>
      <c r="J10" s="576">
        <v>147.4</v>
      </c>
      <c r="K10" s="576">
        <v>1.4</v>
      </c>
      <c r="L10" s="576">
        <v>220</v>
      </c>
      <c r="M10" s="577">
        <v>23162.86</v>
      </c>
    </row>
    <row r="11" spans="1:13" x14ac:dyDescent="0.2">
      <c r="A11" s="572">
        <v>2</v>
      </c>
      <c r="B11" s="573" t="s">
        <v>632</v>
      </c>
      <c r="C11" s="574">
        <v>4679.46</v>
      </c>
      <c r="D11" s="575">
        <v>16.100000000000001</v>
      </c>
      <c r="E11" s="575">
        <v>7.7</v>
      </c>
      <c r="F11" s="575">
        <v>7.7</v>
      </c>
      <c r="G11" s="576">
        <v>75.34</v>
      </c>
      <c r="H11" s="576">
        <v>36.03</v>
      </c>
      <c r="I11" s="576">
        <v>36.03</v>
      </c>
      <c r="J11" s="576">
        <v>147.4</v>
      </c>
      <c r="K11" s="576">
        <v>1.4</v>
      </c>
      <c r="L11" s="576">
        <v>220</v>
      </c>
      <c r="M11" s="577">
        <v>23162.86</v>
      </c>
    </row>
    <row r="12" spans="1:13" x14ac:dyDescent="0.2">
      <c r="A12" s="572">
        <v>3</v>
      </c>
      <c r="B12" s="573" t="s">
        <v>633</v>
      </c>
      <c r="C12" s="574">
        <v>6231.56</v>
      </c>
      <c r="D12" s="575">
        <v>16.100000000000001</v>
      </c>
      <c r="E12" s="575">
        <v>7.7</v>
      </c>
      <c r="F12" s="575">
        <v>7.7</v>
      </c>
      <c r="G12" s="576">
        <v>100.33</v>
      </c>
      <c r="H12" s="576">
        <v>47.98</v>
      </c>
      <c r="I12" s="576">
        <v>47.98</v>
      </c>
      <c r="J12" s="576">
        <v>196.29</v>
      </c>
      <c r="K12" s="576">
        <v>1.4</v>
      </c>
      <c r="L12" s="576">
        <v>220</v>
      </c>
      <c r="M12" s="577">
        <v>30845.57</v>
      </c>
    </row>
    <row r="13" spans="1:13" x14ac:dyDescent="0.2">
      <c r="A13" s="572">
        <v>4</v>
      </c>
      <c r="B13" s="573" t="s">
        <v>634</v>
      </c>
      <c r="C13" s="574">
        <v>1512.35</v>
      </c>
      <c r="D13" s="575">
        <v>16.100000000000001</v>
      </c>
      <c r="E13" s="575">
        <v>7.7</v>
      </c>
      <c r="F13" s="575">
        <v>7.7</v>
      </c>
      <c r="G13" s="576">
        <v>24.35</v>
      </c>
      <c r="H13" s="576">
        <v>11.65</v>
      </c>
      <c r="I13" s="576">
        <v>11.65</v>
      </c>
      <c r="J13" s="576">
        <v>47.65</v>
      </c>
      <c r="K13" s="576">
        <v>1.4</v>
      </c>
      <c r="L13" s="576">
        <v>220</v>
      </c>
      <c r="M13" s="577">
        <v>7487.86</v>
      </c>
    </row>
    <row r="14" spans="1:13" x14ac:dyDescent="0.2">
      <c r="A14" s="572">
        <v>5</v>
      </c>
      <c r="B14" s="573" t="s">
        <v>635</v>
      </c>
      <c r="C14" s="574">
        <v>1512.35</v>
      </c>
      <c r="D14" s="575">
        <v>16.100000000000001</v>
      </c>
      <c r="E14" s="575">
        <v>7.7</v>
      </c>
      <c r="F14" s="575">
        <v>7.7</v>
      </c>
      <c r="G14" s="576">
        <v>24.35</v>
      </c>
      <c r="H14" s="576">
        <v>11.65</v>
      </c>
      <c r="I14" s="576">
        <v>11.65</v>
      </c>
      <c r="J14" s="576">
        <v>47.65</v>
      </c>
      <c r="K14" s="576">
        <v>1.4</v>
      </c>
      <c r="L14" s="576">
        <v>220</v>
      </c>
      <c r="M14" s="577">
        <v>7487.86</v>
      </c>
    </row>
    <row r="15" spans="1:13" x14ac:dyDescent="0.2">
      <c r="A15" s="572">
        <v>6</v>
      </c>
      <c r="B15" s="573" t="s">
        <v>636</v>
      </c>
      <c r="C15" s="574">
        <v>1615.97</v>
      </c>
      <c r="D15" s="575">
        <v>16.100000000000001</v>
      </c>
      <c r="E15" s="575">
        <v>7.7</v>
      </c>
      <c r="F15" s="575">
        <v>7.7</v>
      </c>
      <c r="G15" s="576">
        <v>26.02</v>
      </c>
      <c r="H15" s="576">
        <v>12.44</v>
      </c>
      <c r="I15" s="576">
        <v>12.44</v>
      </c>
      <c r="J15" s="576">
        <v>50.9</v>
      </c>
      <c r="K15" s="576">
        <v>1.4</v>
      </c>
      <c r="L15" s="576">
        <v>220</v>
      </c>
      <c r="M15" s="577">
        <v>7998.57</v>
      </c>
    </row>
    <row r="16" spans="1:13" x14ac:dyDescent="0.2">
      <c r="A16" s="572">
        <v>7</v>
      </c>
      <c r="B16" s="573" t="s">
        <v>637</v>
      </c>
      <c r="C16" s="574">
        <v>1954.56</v>
      </c>
      <c r="D16" s="575">
        <v>16.100000000000001</v>
      </c>
      <c r="E16" s="575">
        <v>7.7</v>
      </c>
      <c r="F16" s="575">
        <v>7.7</v>
      </c>
      <c r="G16" s="576">
        <v>31.47</v>
      </c>
      <c r="H16" s="576">
        <v>15.05</v>
      </c>
      <c r="I16" s="576">
        <v>15.05</v>
      </c>
      <c r="J16" s="576">
        <v>61.57</v>
      </c>
      <c r="K16" s="576">
        <v>1.4</v>
      </c>
      <c r="L16" s="576">
        <v>220</v>
      </c>
      <c r="M16" s="577">
        <v>9675.2900000000009</v>
      </c>
    </row>
    <row r="17" spans="1:13" x14ac:dyDescent="0.2">
      <c r="A17" s="572">
        <v>8</v>
      </c>
      <c r="B17" s="573" t="s">
        <v>638</v>
      </c>
      <c r="C17" s="574">
        <v>1954.56</v>
      </c>
      <c r="D17" s="575">
        <v>16.100000000000001</v>
      </c>
      <c r="E17" s="575">
        <v>7.7</v>
      </c>
      <c r="F17" s="575">
        <v>7.7</v>
      </c>
      <c r="G17" s="576">
        <v>31.47</v>
      </c>
      <c r="H17" s="576">
        <v>15.05</v>
      </c>
      <c r="I17" s="576">
        <v>15.05</v>
      </c>
      <c r="J17" s="576">
        <v>61.57</v>
      </c>
      <c r="K17" s="576">
        <v>1.4</v>
      </c>
      <c r="L17" s="576">
        <v>220</v>
      </c>
      <c r="M17" s="577">
        <v>9675.2900000000009</v>
      </c>
    </row>
    <row r="18" spans="1:13" x14ac:dyDescent="0.2">
      <c r="A18" s="572">
        <v>9</v>
      </c>
      <c r="B18" s="573" t="s">
        <v>639</v>
      </c>
      <c r="C18" s="574">
        <v>1954.56</v>
      </c>
      <c r="D18" s="575">
        <v>16.100000000000001</v>
      </c>
      <c r="E18" s="575">
        <v>7.7</v>
      </c>
      <c r="F18" s="575">
        <v>7.7</v>
      </c>
      <c r="G18" s="576">
        <v>31.47</v>
      </c>
      <c r="H18" s="576">
        <v>15.05</v>
      </c>
      <c r="I18" s="576">
        <v>15.05</v>
      </c>
      <c r="J18" s="576">
        <v>61.57</v>
      </c>
      <c r="K18" s="576">
        <v>1.4</v>
      </c>
      <c r="L18" s="576">
        <v>220</v>
      </c>
      <c r="M18" s="577">
        <v>9675.2900000000009</v>
      </c>
    </row>
    <row r="19" spans="1:13" x14ac:dyDescent="0.2">
      <c r="A19" s="572">
        <v>10</v>
      </c>
      <c r="B19" s="573" t="s">
        <v>642</v>
      </c>
      <c r="C19" s="574">
        <v>4576.8</v>
      </c>
      <c r="D19" s="575">
        <v>16.100000000000001</v>
      </c>
      <c r="E19" s="575">
        <v>7.7</v>
      </c>
      <c r="F19" s="575">
        <v>7.7</v>
      </c>
      <c r="G19" s="576">
        <v>73.69</v>
      </c>
      <c r="H19" s="576">
        <v>35.24</v>
      </c>
      <c r="I19" s="576">
        <v>35.24</v>
      </c>
      <c r="J19" s="576">
        <v>144.16999999999999</v>
      </c>
      <c r="K19" s="576">
        <v>1.4</v>
      </c>
      <c r="L19" s="576">
        <v>220</v>
      </c>
      <c r="M19" s="577">
        <v>22655.29</v>
      </c>
    </row>
    <row r="20" spans="1:13" x14ac:dyDescent="0.2">
      <c r="A20" s="572">
        <v>11</v>
      </c>
      <c r="B20" s="573" t="s">
        <v>643</v>
      </c>
      <c r="C20" s="574">
        <v>4576.8</v>
      </c>
      <c r="D20" s="575">
        <v>16.100000000000001</v>
      </c>
      <c r="E20" s="575">
        <v>7.7</v>
      </c>
      <c r="F20" s="575">
        <v>7.7</v>
      </c>
      <c r="G20" s="576">
        <v>73.69</v>
      </c>
      <c r="H20" s="576">
        <v>35.24</v>
      </c>
      <c r="I20" s="576">
        <v>35.24</v>
      </c>
      <c r="J20" s="576">
        <v>144.16999999999999</v>
      </c>
      <c r="K20" s="576">
        <v>1.4</v>
      </c>
      <c r="L20" s="576">
        <v>220</v>
      </c>
      <c r="M20" s="577">
        <v>22655.29</v>
      </c>
    </row>
    <row r="21" spans="1:13" x14ac:dyDescent="0.2">
      <c r="A21" s="572">
        <v>12</v>
      </c>
      <c r="B21" s="573" t="s">
        <v>640</v>
      </c>
      <c r="C21" s="574">
        <v>2565.44</v>
      </c>
      <c r="D21" s="575">
        <v>16.100000000000001</v>
      </c>
      <c r="E21" s="575">
        <v>7.7</v>
      </c>
      <c r="F21" s="575">
        <v>7.7</v>
      </c>
      <c r="G21" s="576">
        <v>41.3</v>
      </c>
      <c r="H21" s="576">
        <v>19.75</v>
      </c>
      <c r="I21" s="576">
        <v>19.75</v>
      </c>
      <c r="J21" s="576">
        <v>80.8</v>
      </c>
      <c r="K21" s="576">
        <v>1.4</v>
      </c>
      <c r="L21" s="576">
        <v>220</v>
      </c>
      <c r="M21" s="577">
        <v>12697.14</v>
      </c>
    </row>
    <row r="22" spans="1:13" x14ac:dyDescent="0.2">
      <c r="A22" s="572"/>
      <c r="B22" s="573"/>
      <c r="C22" s="574"/>
      <c r="D22" s="575"/>
      <c r="E22" s="575"/>
      <c r="F22" s="575"/>
      <c r="G22" s="576"/>
      <c r="H22" s="576"/>
      <c r="I22" s="576"/>
      <c r="J22" s="576"/>
      <c r="K22" s="576"/>
      <c r="L22" s="576"/>
      <c r="M22" s="577"/>
    </row>
    <row r="23" spans="1:13" ht="18.75" customHeight="1" thickBot="1" x14ac:dyDescent="0.25">
      <c r="A23" s="1169" t="s">
        <v>406</v>
      </c>
      <c r="B23" s="1170"/>
      <c r="C23" s="578">
        <v>37813.870000000003</v>
      </c>
      <c r="D23" s="578"/>
      <c r="E23" s="578"/>
      <c r="F23" s="578"/>
      <c r="G23" s="579">
        <v>608.82000000000005</v>
      </c>
      <c r="H23" s="579">
        <v>291.16000000000003</v>
      </c>
      <c r="I23" s="579">
        <v>291.16000000000003</v>
      </c>
      <c r="J23" s="579">
        <v>1191.1400000000001</v>
      </c>
      <c r="K23" s="579"/>
      <c r="L23" s="580"/>
      <c r="M23" s="590">
        <v>187179.17</v>
      </c>
    </row>
    <row r="24" spans="1:13" ht="13.5" thickBot="1" x14ac:dyDescent="0.25">
      <c r="A24" s="265"/>
      <c r="B24" s="265"/>
      <c r="C24" s="266"/>
      <c r="D24" s="266"/>
      <c r="E24" s="266"/>
      <c r="F24" s="266"/>
      <c r="G24" s="267"/>
      <c r="H24" s="267"/>
      <c r="I24" s="267"/>
      <c r="J24" s="267"/>
      <c r="K24" s="267"/>
      <c r="L24" s="414"/>
      <c r="M24" s="267"/>
    </row>
    <row r="25" spans="1:13" ht="28.5" customHeight="1" thickBot="1" x14ac:dyDescent="0.25">
      <c r="A25" s="1238" t="s">
        <v>653</v>
      </c>
      <c r="B25" s="1239"/>
      <c r="C25" s="1239"/>
      <c r="D25" s="1239"/>
      <c r="E25" s="1239"/>
      <c r="F25" s="1239"/>
      <c r="G25" s="1239"/>
      <c r="H25" s="1239"/>
      <c r="I25" s="1239"/>
      <c r="J25" s="1239"/>
      <c r="K25" s="1239"/>
      <c r="L25" s="1239"/>
      <c r="M25" s="1240"/>
    </row>
    <row r="26" spans="1:13" x14ac:dyDescent="0.2">
      <c r="A26" s="1174" t="s">
        <v>61</v>
      </c>
      <c r="B26" s="1176" t="s">
        <v>62</v>
      </c>
      <c r="C26" s="1178" t="s">
        <v>67</v>
      </c>
      <c r="D26" s="1178" t="s">
        <v>656</v>
      </c>
      <c r="E26" s="1178" t="s">
        <v>657</v>
      </c>
      <c r="F26" s="1178" t="s">
        <v>658</v>
      </c>
      <c r="G26" s="1178" t="s">
        <v>627</v>
      </c>
      <c r="H26" s="1178" t="s">
        <v>339</v>
      </c>
      <c r="I26" s="1178" t="s">
        <v>339</v>
      </c>
      <c r="J26" s="1178" t="s">
        <v>306</v>
      </c>
      <c r="K26" s="1178" t="s">
        <v>588</v>
      </c>
      <c r="L26" s="1178" t="s">
        <v>307</v>
      </c>
      <c r="M26" s="1241" t="s">
        <v>589</v>
      </c>
    </row>
    <row r="27" spans="1:13" ht="25.5" customHeight="1" x14ac:dyDescent="0.2">
      <c r="A27" s="1175"/>
      <c r="B27" s="1177"/>
      <c r="C27" s="1179"/>
      <c r="D27" s="1179"/>
      <c r="E27" s="1179"/>
      <c r="F27" s="1179"/>
      <c r="G27" s="1179"/>
      <c r="H27" s="1179"/>
      <c r="I27" s="1179"/>
      <c r="J27" s="1179"/>
      <c r="K27" s="1179"/>
      <c r="L27" s="1179"/>
      <c r="M27" s="1242"/>
    </row>
    <row r="28" spans="1:13" ht="26.25" customHeight="1" x14ac:dyDescent="0.2">
      <c r="A28" s="572">
        <v>1</v>
      </c>
      <c r="B28" s="573" t="s">
        <v>655</v>
      </c>
      <c r="C28" s="574">
        <v>1002.04</v>
      </c>
      <c r="D28" s="932">
        <v>996.8</v>
      </c>
      <c r="E28" s="932"/>
      <c r="F28" s="932"/>
      <c r="G28" s="576">
        <v>998.83</v>
      </c>
      <c r="H28" s="576">
        <v>0</v>
      </c>
      <c r="I28" s="576">
        <v>0</v>
      </c>
      <c r="J28" s="576">
        <v>998.83</v>
      </c>
      <c r="K28" s="576">
        <v>1.4</v>
      </c>
      <c r="L28" s="576">
        <v>220</v>
      </c>
      <c r="M28" s="577">
        <v>156959</v>
      </c>
    </row>
    <row r="29" spans="1:13" ht="24" customHeight="1" thickBot="1" x14ac:dyDescent="0.25">
      <c r="A29" s="1169" t="s">
        <v>406</v>
      </c>
      <c r="B29" s="1170"/>
      <c r="C29" s="578"/>
      <c r="D29" s="578"/>
      <c r="E29" s="578"/>
      <c r="F29" s="578"/>
      <c r="G29" s="578">
        <v>998.83</v>
      </c>
      <c r="H29" s="578">
        <v>0</v>
      </c>
      <c r="I29" s="578">
        <v>0</v>
      </c>
      <c r="J29" s="578">
        <v>998.83</v>
      </c>
      <c r="K29" s="579"/>
      <c r="L29" s="580"/>
      <c r="M29" s="578">
        <v>156959</v>
      </c>
    </row>
    <row r="30" spans="1:13" x14ac:dyDescent="0.2">
      <c r="A30" s="265"/>
      <c r="B30" s="265"/>
      <c r="C30" s="266"/>
      <c r="D30" s="266"/>
      <c r="E30" s="266"/>
      <c r="F30" s="266"/>
      <c r="G30" s="267"/>
      <c r="H30" s="267"/>
      <c r="I30" s="267"/>
      <c r="J30" s="267"/>
      <c r="K30" s="267"/>
      <c r="L30" s="414"/>
      <c r="M30" s="267"/>
    </row>
    <row r="31" spans="1:13" x14ac:dyDescent="0.2">
      <c r="A31" s="265"/>
      <c r="B31" s="265"/>
      <c r="C31" s="266"/>
      <c r="D31" s="266"/>
      <c r="E31" s="266"/>
      <c r="F31" s="266"/>
      <c r="G31" s="267"/>
      <c r="H31" s="267"/>
      <c r="I31" s="267"/>
      <c r="J31" s="267"/>
      <c r="K31" s="267"/>
      <c r="L31" s="414"/>
      <c r="M31" s="267"/>
    </row>
    <row r="32" spans="1:13" ht="35.25" customHeight="1" x14ac:dyDescent="0.2"/>
    <row r="33" spans="2:2" x14ac:dyDescent="0.2">
      <c r="B33" s="419" t="s">
        <v>177</v>
      </c>
    </row>
    <row r="34" spans="2:2" x14ac:dyDescent="0.2">
      <c r="B34" s="420" t="s">
        <v>537</v>
      </c>
    </row>
  </sheetData>
  <mergeCells count="40">
    <mergeCell ref="A1:B2"/>
    <mergeCell ref="C1:M1"/>
    <mergeCell ref="C2:M2"/>
    <mergeCell ref="M8:M9"/>
    <mergeCell ref="B6:D6"/>
    <mergeCell ref="B3:M3"/>
    <mergeCell ref="B4:J4"/>
    <mergeCell ref="B5:D5"/>
    <mergeCell ref="K4:M6"/>
    <mergeCell ref="F6:I6"/>
    <mergeCell ref="F5:J5"/>
    <mergeCell ref="A23:B23"/>
    <mergeCell ref="A7:M7"/>
    <mergeCell ref="A8:A9"/>
    <mergeCell ref="B8:B9"/>
    <mergeCell ref="C8:C9"/>
    <mergeCell ref="D8:D9"/>
    <mergeCell ref="E8:E9"/>
    <mergeCell ref="G8:G9"/>
    <mergeCell ref="I8:I9"/>
    <mergeCell ref="J8:J9"/>
    <mergeCell ref="L8:L9"/>
    <mergeCell ref="K8:K9"/>
    <mergeCell ref="H8:H9"/>
    <mergeCell ref="F8:F9"/>
    <mergeCell ref="A29:B29"/>
    <mergeCell ref="A25:M25"/>
    <mergeCell ref="A26:A27"/>
    <mergeCell ref="B26:B27"/>
    <mergeCell ref="C26:C27"/>
    <mergeCell ref="D26:D27"/>
    <mergeCell ref="E26:E27"/>
    <mergeCell ref="G26:G27"/>
    <mergeCell ref="I26:I27"/>
    <mergeCell ref="J26:J27"/>
    <mergeCell ref="K26:K27"/>
    <mergeCell ref="L26:L27"/>
    <mergeCell ref="M26:M27"/>
    <mergeCell ref="H26:H27"/>
    <mergeCell ref="F26:F27"/>
  </mergeCells>
  <pageMargins left="0.511811024" right="0.511811024" top="0.78740157499999996" bottom="0.78740157499999996" header="0.31496062000000002" footer="0.31496062000000002"/>
  <pageSetup paperSize="9" scale="7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9"/>
  <sheetViews>
    <sheetView view="pageBreakPreview" topLeftCell="A16" zoomScale="115" zoomScaleSheetLayoutView="115" workbookViewId="0">
      <selection activeCell="I21" sqref="I21"/>
    </sheetView>
  </sheetViews>
  <sheetFormatPr defaultRowHeight="12.75" x14ac:dyDescent="0.2"/>
  <cols>
    <col min="1" max="1" width="12.42578125" style="270" customWidth="1"/>
    <col min="2" max="2" width="42.7109375" style="270" customWidth="1"/>
    <col min="3" max="3" width="12.28515625" style="270" customWidth="1"/>
    <col min="4" max="4" width="11.5703125" style="270" bestFit="1" customWidth="1"/>
    <col min="5" max="5" width="9" style="270" customWidth="1"/>
    <col min="6" max="6" width="12.140625" style="270" customWidth="1"/>
    <col min="7" max="7" width="9.42578125" style="270" customWidth="1"/>
    <col min="8" max="8" width="11.85546875" style="270" customWidth="1"/>
    <col min="9" max="9" width="13" style="270" customWidth="1"/>
    <col min="10" max="10" width="15.7109375" style="270" customWidth="1"/>
    <col min="11" max="16384" width="9.140625" style="269"/>
  </cols>
  <sheetData>
    <row r="1" spans="1:10" ht="48" customHeight="1" x14ac:dyDescent="0.2">
      <c r="A1" s="1183" t="s">
        <v>556</v>
      </c>
      <c r="B1" s="1184"/>
      <c r="C1" s="982" t="s">
        <v>54</v>
      </c>
      <c r="D1" s="982"/>
      <c r="E1" s="982"/>
      <c r="F1" s="982"/>
      <c r="G1" s="982"/>
      <c r="H1" s="982"/>
      <c r="I1" s="982"/>
      <c r="J1" s="983"/>
    </row>
    <row r="2" spans="1:10" ht="48" customHeight="1" x14ac:dyDescent="0.2">
      <c r="A2" s="1185"/>
      <c r="B2" s="1186"/>
      <c r="C2" s="985" t="s">
        <v>630</v>
      </c>
      <c r="D2" s="985"/>
      <c r="E2" s="985"/>
      <c r="F2" s="985"/>
      <c r="G2" s="985"/>
      <c r="H2" s="985"/>
      <c r="I2" s="985"/>
      <c r="J2" s="986"/>
    </row>
    <row r="3" spans="1:10" ht="15" customHeight="1" x14ac:dyDescent="0.2">
      <c r="A3" s="421" t="s">
        <v>55</v>
      </c>
      <c r="B3" s="1247" t="s">
        <v>663</v>
      </c>
      <c r="C3" s="1247"/>
      <c r="D3" s="1247"/>
      <c r="E3" s="1247"/>
      <c r="F3" s="1247"/>
      <c r="G3" s="1247"/>
      <c r="H3" s="1247"/>
      <c r="I3" s="1247"/>
      <c r="J3" s="1248"/>
    </row>
    <row r="4" spans="1:10" ht="15" customHeight="1" x14ac:dyDescent="0.2">
      <c r="A4" s="421" t="s">
        <v>56</v>
      </c>
      <c r="B4" s="1247" t="s">
        <v>629</v>
      </c>
      <c r="C4" s="1247"/>
      <c r="D4" s="1247"/>
      <c r="E4" s="1247"/>
      <c r="F4" s="1247"/>
      <c r="G4" s="1247"/>
      <c r="H4" s="1247"/>
      <c r="I4" s="1268" t="s">
        <v>703</v>
      </c>
      <c r="J4" s="1269"/>
    </row>
    <row r="5" spans="1:10" ht="15" customHeight="1" x14ac:dyDescent="0.2">
      <c r="A5" s="421" t="s">
        <v>57</v>
      </c>
      <c r="B5" s="1247" t="s">
        <v>630</v>
      </c>
      <c r="C5" s="1247"/>
      <c r="D5" s="1247"/>
      <c r="E5" s="422" t="s">
        <v>374</v>
      </c>
      <c r="F5" s="1272" t="s">
        <v>701</v>
      </c>
      <c r="G5" s="1272"/>
      <c r="H5" s="1272"/>
      <c r="I5" s="1268"/>
      <c r="J5" s="1269"/>
    </row>
    <row r="6" spans="1:10" ht="15" customHeight="1" thickBot="1" x14ac:dyDescent="0.25">
      <c r="A6" s="423" t="s">
        <v>58</v>
      </c>
      <c r="B6" s="1246">
        <v>37813.870000000003</v>
      </c>
      <c r="C6" s="1246"/>
      <c r="D6" s="1246"/>
      <c r="E6" s="424" t="s">
        <v>59</v>
      </c>
      <c r="F6" s="1273">
        <v>0.20699999999999999</v>
      </c>
      <c r="G6" s="1273"/>
      <c r="H6" s="424" t="s">
        <v>60</v>
      </c>
      <c r="I6" s="1270"/>
      <c r="J6" s="1271"/>
    </row>
    <row r="7" spans="1:10" ht="19.5" customHeight="1" thickBot="1" x14ac:dyDescent="0.25">
      <c r="A7" s="1264" t="s">
        <v>309</v>
      </c>
      <c r="B7" s="1265"/>
      <c r="C7" s="1265"/>
      <c r="D7" s="1265"/>
      <c r="E7" s="1265"/>
      <c r="F7" s="1265"/>
      <c r="G7" s="1265"/>
      <c r="H7" s="1265"/>
      <c r="I7" s="1265"/>
      <c r="J7" s="1266"/>
    </row>
    <row r="8" spans="1:10" ht="26.25" customHeight="1" x14ac:dyDescent="0.2">
      <c r="A8" s="1174" t="s">
        <v>61</v>
      </c>
      <c r="B8" s="1176" t="s">
        <v>62</v>
      </c>
      <c r="C8" s="1178" t="s">
        <v>65</v>
      </c>
      <c r="D8" s="1178" t="s">
        <v>341</v>
      </c>
      <c r="E8" s="1178" t="s">
        <v>340</v>
      </c>
      <c r="F8" s="1178" t="s">
        <v>310</v>
      </c>
      <c r="G8" s="1178" t="s">
        <v>311</v>
      </c>
      <c r="H8" s="1178" t="s">
        <v>306</v>
      </c>
      <c r="I8" s="1178" t="s">
        <v>307</v>
      </c>
      <c r="J8" s="1241" t="s">
        <v>308</v>
      </c>
    </row>
    <row r="9" spans="1:10" x14ac:dyDescent="0.2">
      <c r="A9" s="1175"/>
      <c r="B9" s="1177"/>
      <c r="C9" s="1179"/>
      <c r="D9" s="1179"/>
      <c r="E9" s="1179"/>
      <c r="F9" s="1179"/>
      <c r="G9" s="1179"/>
      <c r="H9" s="1179"/>
      <c r="I9" s="1179"/>
      <c r="J9" s="1242"/>
    </row>
    <row r="10" spans="1:10" x14ac:dyDescent="0.2">
      <c r="A10" s="1175" t="s">
        <v>385</v>
      </c>
      <c r="B10" s="1177"/>
      <c r="C10" s="1177"/>
      <c r="D10" s="1177"/>
      <c r="E10" s="1177"/>
      <c r="F10" s="1177"/>
      <c r="G10" s="1177"/>
      <c r="H10" s="1177"/>
      <c r="I10" s="1177"/>
      <c r="J10" s="1267"/>
    </row>
    <row r="11" spans="1:10" x14ac:dyDescent="0.2">
      <c r="A11" s="572">
        <v>1</v>
      </c>
      <c r="B11" s="573" t="s">
        <v>631</v>
      </c>
      <c r="C11" s="574">
        <v>4679.46</v>
      </c>
      <c r="D11" s="575">
        <v>1.2</v>
      </c>
      <c r="E11" s="575">
        <v>3.1</v>
      </c>
      <c r="F11" s="576">
        <v>5.62</v>
      </c>
      <c r="G11" s="576">
        <v>14.51</v>
      </c>
      <c r="H11" s="576">
        <v>20.13</v>
      </c>
      <c r="I11" s="576">
        <v>570</v>
      </c>
      <c r="J11" s="577">
        <v>11474.1</v>
      </c>
    </row>
    <row r="12" spans="1:10" x14ac:dyDescent="0.2">
      <c r="A12" s="572">
        <v>2</v>
      </c>
      <c r="B12" s="573" t="s">
        <v>632</v>
      </c>
      <c r="C12" s="574">
        <v>4679.46</v>
      </c>
      <c r="D12" s="575">
        <v>1.2</v>
      </c>
      <c r="E12" s="575">
        <v>3.1</v>
      </c>
      <c r="F12" s="576">
        <v>5.62</v>
      </c>
      <c r="G12" s="576">
        <v>14.51</v>
      </c>
      <c r="H12" s="576">
        <v>20.13</v>
      </c>
      <c r="I12" s="576">
        <v>570</v>
      </c>
      <c r="J12" s="577">
        <v>11474.1</v>
      </c>
    </row>
    <row r="13" spans="1:10" x14ac:dyDescent="0.2">
      <c r="A13" s="572">
        <v>3</v>
      </c>
      <c r="B13" s="573" t="s">
        <v>633</v>
      </c>
      <c r="C13" s="574">
        <v>6231.56</v>
      </c>
      <c r="D13" s="575">
        <v>1.2</v>
      </c>
      <c r="E13" s="575">
        <v>3.1</v>
      </c>
      <c r="F13" s="576">
        <v>7.48</v>
      </c>
      <c r="G13" s="576">
        <v>19.32</v>
      </c>
      <c r="H13" s="576">
        <v>26.8</v>
      </c>
      <c r="I13" s="576">
        <v>570</v>
      </c>
      <c r="J13" s="577">
        <v>15276</v>
      </c>
    </row>
    <row r="14" spans="1:10" x14ac:dyDescent="0.2">
      <c r="A14" s="572">
        <v>4</v>
      </c>
      <c r="B14" s="573" t="s">
        <v>634</v>
      </c>
      <c r="C14" s="574">
        <v>1512.35</v>
      </c>
      <c r="D14" s="575">
        <v>1.2</v>
      </c>
      <c r="E14" s="575">
        <v>3.1</v>
      </c>
      <c r="F14" s="576">
        <v>1.81</v>
      </c>
      <c r="G14" s="576">
        <v>4.6900000000000004</v>
      </c>
      <c r="H14" s="576">
        <v>6.5</v>
      </c>
      <c r="I14" s="576">
        <v>570</v>
      </c>
      <c r="J14" s="577">
        <v>3705</v>
      </c>
    </row>
    <row r="15" spans="1:10" x14ac:dyDescent="0.2">
      <c r="A15" s="572">
        <v>5</v>
      </c>
      <c r="B15" s="573" t="s">
        <v>635</v>
      </c>
      <c r="C15" s="574">
        <v>1512.35</v>
      </c>
      <c r="D15" s="575">
        <v>1.2</v>
      </c>
      <c r="E15" s="575">
        <v>3.1</v>
      </c>
      <c r="F15" s="576">
        <v>1.81</v>
      </c>
      <c r="G15" s="576">
        <v>4.6900000000000004</v>
      </c>
      <c r="H15" s="576">
        <v>6.5</v>
      </c>
      <c r="I15" s="576">
        <v>570</v>
      </c>
      <c r="J15" s="577">
        <v>3705</v>
      </c>
    </row>
    <row r="16" spans="1:10" x14ac:dyDescent="0.2">
      <c r="A16" s="572">
        <v>6</v>
      </c>
      <c r="B16" s="573" t="s">
        <v>636</v>
      </c>
      <c r="C16" s="574">
        <v>1615.97</v>
      </c>
      <c r="D16" s="575">
        <v>1.2</v>
      </c>
      <c r="E16" s="575">
        <v>3.1</v>
      </c>
      <c r="F16" s="576">
        <v>1.94</v>
      </c>
      <c r="G16" s="576">
        <v>5.01</v>
      </c>
      <c r="H16" s="576">
        <v>6.95</v>
      </c>
      <c r="I16" s="576">
        <v>570</v>
      </c>
      <c r="J16" s="577">
        <v>3961.5</v>
      </c>
    </row>
    <row r="17" spans="1:10" x14ac:dyDescent="0.2">
      <c r="A17" s="572">
        <v>7</v>
      </c>
      <c r="B17" s="573" t="s">
        <v>637</v>
      </c>
      <c r="C17" s="574">
        <v>1954.56</v>
      </c>
      <c r="D17" s="575">
        <v>1.2</v>
      </c>
      <c r="E17" s="575">
        <v>3.1</v>
      </c>
      <c r="F17" s="576">
        <v>2.35</v>
      </c>
      <c r="G17" s="576">
        <v>6.06</v>
      </c>
      <c r="H17" s="576">
        <v>8.41</v>
      </c>
      <c r="I17" s="576">
        <v>570</v>
      </c>
      <c r="J17" s="577">
        <v>4793.7</v>
      </c>
    </row>
    <row r="18" spans="1:10" x14ac:dyDescent="0.2">
      <c r="A18" s="572">
        <v>8</v>
      </c>
      <c r="B18" s="573" t="s">
        <v>638</v>
      </c>
      <c r="C18" s="574">
        <v>1954.56</v>
      </c>
      <c r="D18" s="575">
        <v>1.2</v>
      </c>
      <c r="E18" s="575">
        <v>3.1</v>
      </c>
      <c r="F18" s="576">
        <v>2.35</v>
      </c>
      <c r="G18" s="576">
        <v>6.06</v>
      </c>
      <c r="H18" s="576">
        <v>8.41</v>
      </c>
      <c r="I18" s="576">
        <v>570</v>
      </c>
      <c r="J18" s="577">
        <v>4793.7</v>
      </c>
    </row>
    <row r="19" spans="1:10" x14ac:dyDescent="0.2">
      <c r="A19" s="572">
        <v>9</v>
      </c>
      <c r="B19" s="573" t="s">
        <v>639</v>
      </c>
      <c r="C19" s="574">
        <v>1954.56</v>
      </c>
      <c r="D19" s="575">
        <v>1.2</v>
      </c>
      <c r="E19" s="575">
        <v>3.1</v>
      </c>
      <c r="F19" s="576">
        <v>2.35</v>
      </c>
      <c r="G19" s="576">
        <v>6.06</v>
      </c>
      <c r="H19" s="576">
        <v>8.41</v>
      </c>
      <c r="I19" s="576">
        <v>570</v>
      </c>
      <c r="J19" s="577">
        <v>4793.7</v>
      </c>
    </row>
    <row r="20" spans="1:10" x14ac:dyDescent="0.2">
      <c r="A20" s="572">
        <v>10</v>
      </c>
      <c r="B20" s="573" t="s">
        <v>642</v>
      </c>
      <c r="C20" s="574">
        <v>4576.8</v>
      </c>
      <c r="D20" s="575">
        <v>1.2</v>
      </c>
      <c r="E20" s="575">
        <v>3.1</v>
      </c>
      <c r="F20" s="576">
        <v>5.49</v>
      </c>
      <c r="G20" s="576">
        <v>14.19</v>
      </c>
      <c r="H20" s="576">
        <v>19.68</v>
      </c>
      <c r="I20" s="576">
        <v>570</v>
      </c>
      <c r="J20" s="577">
        <v>11217.6</v>
      </c>
    </row>
    <row r="21" spans="1:10" x14ac:dyDescent="0.2">
      <c r="A21" s="572">
        <v>11</v>
      </c>
      <c r="B21" s="573" t="s">
        <v>643</v>
      </c>
      <c r="C21" s="574">
        <v>4576.8</v>
      </c>
      <c r="D21" s="575">
        <v>1.2</v>
      </c>
      <c r="E21" s="575">
        <v>3.1</v>
      </c>
      <c r="F21" s="576">
        <v>5.49</v>
      </c>
      <c r="G21" s="576">
        <v>14.19</v>
      </c>
      <c r="H21" s="576">
        <v>19.68</v>
      </c>
      <c r="I21" s="576">
        <v>570</v>
      </c>
      <c r="J21" s="577">
        <v>11217.6</v>
      </c>
    </row>
    <row r="22" spans="1:10" x14ac:dyDescent="0.2">
      <c r="A22" s="572">
        <v>12</v>
      </c>
      <c r="B22" s="573" t="s">
        <v>640</v>
      </c>
      <c r="C22" s="574">
        <v>2565.44</v>
      </c>
      <c r="D22" s="575">
        <v>1.2</v>
      </c>
      <c r="E22" s="575">
        <v>3.1</v>
      </c>
      <c r="F22" s="576">
        <v>3.08</v>
      </c>
      <c r="G22" s="576">
        <v>7.95</v>
      </c>
      <c r="H22" s="576">
        <v>11.03</v>
      </c>
      <c r="I22" s="576">
        <v>570</v>
      </c>
      <c r="J22" s="577">
        <v>6287.1</v>
      </c>
    </row>
    <row r="23" spans="1:10" x14ac:dyDescent="0.2">
      <c r="A23" s="572"/>
      <c r="B23" s="573"/>
      <c r="C23" s="574"/>
      <c r="D23" s="575"/>
      <c r="E23" s="575"/>
      <c r="F23" s="576"/>
      <c r="G23" s="576"/>
      <c r="H23" s="576"/>
      <c r="I23" s="576"/>
      <c r="J23" s="577"/>
    </row>
    <row r="24" spans="1:10" ht="13.5" thickBot="1" x14ac:dyDescent="0.25">
      <c r="A24" s="1169" t="s">
        <v>69</v>
      </c>
      <c r="B24" s="1170"/>
      <c r="C24" s="578">
        <v>37813.870000000003</v>
      </c>
      <c r="D24" s="578"/>
      <c r="E24" s="578"/>
      <c r="F24" s="579">
        <v>45.39</v>
      </c>
      <c r="G24" s="579">
        <v>117.24</v>
      </c>
      <c r="H24" s="579">
        <v>162.63</v>
      </c>
      <c r="I24" s="580"/>
      <c r="J24" s="590">
        <v>92699.1</v>
      </c>
    </row>
    <row r="27" spans="1:10" ht="31.5" customHeight="1" x14ac:dyDescent="0.2"/>
    <row r="28" spans="1:10" x14ac:dyDescent="0.2">
      <c r="B28" s="292" t="s">
        <v>177</v>
      </c>
    </row>
    <row r="29" spans="1:10" x14ac:dyDescent="0.2">
      <c r="B29" s="293" t="s">
        <v>537</v>
      </c>
    </row>
  </sheetData>
  <mergeCells count="23">
    <mergeCell ref="C1:J1"/>
    <mergeCell ref="C2:J2"/>
    <mergeCell ref="A1:B2"/>
    <mergeCell ref="J8:J9"/>
    <mergeCell ref="B3:J3"/>
    <mergeCell ref="B4:H4"/>
    <mergeCell ref="I4:J6"/>
    <mergeCell ref="B5:D5"/>
    <mergeCell ref="F5:H5"/>
    <mergeCell ref="B6:D6"/>
    <mergeCell ref="F6:G6"/>
    <mergeCell ref="A24:B24"/>
    <mergeCell ref="A7:J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10:J10"/>
  </mergeCells>
  <pageMargins left="0.511811024" right="0.511811024" top="0.78740157499999996" bottom="0.78740157499999996" header="0.31496062000000002" footer="0.31496062000000002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26</vt:i4>
      </vt:variant>
    </vt:vector>
  </HeadingPairs>
  <TitlesOfParts>
    <vt:vector size="51" baseType="lpstr">
      <vt:lpstr>Ruas Ben</vt:lpstr>
      <vt:lpstr>M. Calc Dre</vt:lpstr>
      <vt:lpstr>Terrap.</vt:lpstr>
      <vt:lpstr>Cub</vt:lpstr>
      <vt:lpstr>BASE E SUB</vt:lpstr>
      <vt:lpstr>Pavim.</vt:lpstr>
      <vt:lpstr>Coord</vt:lpstr>
      <vt:lpstr>MAT. PETREO</vt:lpstr>
      <vt:lpstr>MAT BETUMINOSO</vt:lpstr>
      <vt:lpstr>MF e Sarj.</vt:lpstr>
      <vt:lpstr>CALÇADA</vt:lpstr>
      <vt:lpstr>PISO TATIL</vt:lpstr>
      <vt:lpstr>Sinal.</vt:lpstr>
      <vt:lpstr>Comp. TSD E CAPA</vt:lpstr>
      <vt:lpstr>Mem. Calc.</vt:lpstr>
      <vt:lpstr>Orçam.</vt:lpstr>
      <vt:lpstr>Resumo</vt:lpstr>
      <vt:lpstr>Crono Comp.</vt:lpstr>
      <vt:lpstr>Crono Basico</vt:lpstr>
      <vt:lpstr>QCI</vt:lpstr>
      <vt:lpstr>BDI</vt:lpstr>
      <vt:lpstr>COMPOSIÇÕES</vt:lpstr>
      <vt:lpstr>ADM LOCAL</vt:lpstr>
      <vt:lpstr>COMP PV</vt:lpstr>
      <vt:lpstr>CRON 2</vt:lpstr>
      <vt:lpstr>'ADM LOCAL'!Area_de_impressao</vt:lpstr>
      <vt:lpstr>BDI!Area_de_impressao</vt:lpstr>
      <vt:lpstr>'COMP PV'!Area_de_impressao</vt:lpstr>
      <vt:lpstr>COMPOSIÇÕES!Area_de_impressao</vt:lpstr>
      <vt:lpstr>'CRON 2'!Area_de_impressao</vt:lpstr>
      <vt:lpstr>'Crono Basico'!Area_de_impressao</vt:lpstr>
      <vt:lpstr>'Crono Comp.'!Area_de_impressao</vt:lpstr>
      <vt:lpstr>Cub!Area_de_impressao</vt:lpstr>
      <vt:lpstr>'M. Calc Dre'!Area_de_impressao</vt:lpstr>
      <vt:lpstr>'MAT. PETREO'!Area_de_impressao</vt:lpstr>
      <vt:lpstr>'Mem. Calc.'!Area_de_impressao</vt:lpstr>
      <vt:lpstr>Orçam.!Area_de_impressao</vt:lpstr>
      <vt:lpstr>'PISO TATIL'!Area_de_impressao</vt:lpstr>
      <vt:lpstr>QCI!Area_de_impressao</vt:lpstr>
      <vt:lpstr>Resumo!Area_de_impressao</vt:lpstr>
      <vt:lpstr>'Ruas Ben'!Area_de_impressao</vt:lpstr>
      <vt:lpstr>Sinal.!Area_de_impressao</vt:lpstr>
      <vt:lpstr>Terrap.!Area_de_impressao</vt:lpstr>
      <vt:lpstr>COMPOSIÇÕES!Titulos_de_impressao</vt:lpstr>
      <vt:lpstr>'CRON 2'!Titulos_de_impressao</vt:lpstr>
      <vt:lpstr>'Crono Basico'!Titulos_de_impressao</vt:lpstr>
      <vt:lpstr>'Crono Comp.'!Titulos_de_impressao</vt:lpstr>
      <vt:lpstr>Cub!Titulos_de_impressao</vt:lpstr>
      <vt:lpstr>'M. Calc Dre'!Titulos_de_impressao</vt:lpstr>
      <vt:lpstr>'Mem. Calc.'!Titulos_de_impressao</vt:lpstr>
      <vt:lpstr>Orçam.!Titulos_de_impressao</vt:lpstr>
    </vt:vector>
  </TitlesOfParts>
  <Company>PNUD/BRA/00/027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willamy.dias</dc:creator>
  <cp:lastModifiedBy>Usuário</cp:lastModifiedBy>
  <cp:lastPrinted>2019-08-19T14:03:01Z</cp:lastPrinted>
  <dcterms:created xsi:type="dcterms:W3CDTF">2005-05-25T12:35:26Z</dcterms:created>
  <dcterms:modified xsi:type="dcterms:W3CDTF">2019-09-16T15:59:47Z</dcterms:modified>
</cp:coreProperties>
</file>